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Eelarve/ri ja halduslepingud_/YLEP 2021/Pepleri 35, Tartu/"/>
    </mc:Choice>
  </mc:AlternateContent>
  <xr:revisionPtr revIDLastSave="42" documentId="8_{6E26D4A7-9A52-4608-8380-404B984D9267}" xr6:coauthVersionLast="47" xr6:coauthVersionMax="47" xr10:uidLastSave="{6CAD1FE6-D59F-46A5-8591-0C5BBD32905A}"/>
  <bookViews>
    <workbookView xWindow="31785" yWindow="2070" windowWidth="22815" windowHeight="12495" activeTab="1" xr2:uid="{E9D054A2-7359-47A4-A81D-35CBD57F32A8}"/>
  </bookViews>
  <sheets>
    <sheet name="Lisa 6.1.R15" sheetId="18" r:id="rId1"/>
    <sheet name="#Lisa 1 üürnike vahel" sheetId="13" r:id="rId2"/>
    <sheet name="Kontorimööbel" sheetId="20" r:id="rId3"/>
    <sheet name="Eritellimusmööbel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adress">#REF!</definedName>
    <definedName name="aadress_asukoha_analüüs" localSheetId="1">#REF!</definedName>
    <definedName name="aadress_asukoha_analüüs">#REF!</definedName>
    <definedName name="aadress_asukohahinnang" localSheetId="1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 localSheetId="1">#REF!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 localSheetId="1">#REF!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1">[10]algne_eelarve_prognoosiga!#REF!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 localSheetId="1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 localSheetId="1">#REF!</definedName>
    <definedName name="Uus">#REF!</definedName>
    <definedName name="v">#REF!</definedName>
    <definedName name="vahelagi">#REF!</definedName>
    <definedName name="Veel" localSheetId="1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3" l="1"/>
  <c r="M28" i="13" l="1"/>
  <c r="D28" i="13" s="1"/>
  <c r="M27" i="13"/>
  <c r="J7" i="13" l="1"/>
  <c r="H7" i="13"/>
  <c r="F7" i="13"/>
  <c r="D7" i="13"/>
  <c r="D10" i="19"/>
  <c r="B10" i="19"/>
  <c r="N8" i="19"/>
  <c r="M8" i="19"/>
  <c r="Q6" i="19"/>
  <c r="O6" i="19"/>
  <c r="Q5" i="19"/>
  <c r="O5" i="19"/>
  <c r="Q4" i="19"/>
  <c r="O4" i="19"/>
  <c r="Q3" i="19"/>
  <c r="Q8" i="20"/>
  <c r="R5" i="20" s="1"/>
  <c r="D7" i="20" s="1"/>
  <c r="Q4" i="20"/>
  <c r="R4" i="20" s="1"/>
  <c r="D6" i="20" s="1"/>
  <c r="Q5" i="20"/>
  <c r="Q6" i="20"/>
  <c r="R6" i="20" s="1"/>
  <c r="D8" i="20" s="1"/>
  <c r="Q3" i="20"/>
  <c r="B10" i="20"/>
  <c r="M8" i="20"/>
  <c r="N8" i="20"/>
  <c r="O8" i="20"/>
  <c r="P6" i="20" s="1"/>
  <c r="C8" i="20" s="1"/>
  <c r="E8" i="20" s="1"/>
  <c r="O5" i="20"/>
  <c r="O6" i="20"/>
  <c r="O4" i="20"/>
  <c r="P7" i="20" l="1"/>
  <c r="C9" i="20" s="1"/>
  <c r="E9" i="20" s="1"/>
  <c r="P5" i="20"/>
  <c r="C7" i="20" s="1"/>
  <c r="E7" i="20" s="1"/>
  <c r="R7" i="20"/>
  <c r="D9" i="20" s="1"/>
  <c r="P3" i="20"/>
  <c r="R3" i="20"/>
  <c r="D5" i="20" s="1"/>
  <c r="P4" i="20"/>
  <c r="C6" i="20" s="1"/>
  <c r="E6" i="20" s="1"/>
  <c r="E10" i="19"/>
  <c r="Q8" i="19"/>
  <c r="R7" i="19" s="1"/>
  <c r="O8" i="19"/>
  <c r="P3" i="19" s="1"/>
  <c r="C5" i="19" s="1"/>
  <c r="E5" i="19" s="1"/>
  <c r="C5" i="20" l="1"/>
  <c r="E5" i="20" s="1"/>
  <c r="E10" i="20" s="1"/>
  <c r="P8" i="20"/>
  <c r="R6" i="19"/>
  <c r="R8" i="20"/>
  <c r="P6" i="19"/>
  <c r="C8" i="19" s="1"/>
  <c r="E8" i="19" s="1"/>
  <c r="P7" i="19"/>
  <c r="C9" i="19" s="1"/>
  <c r="E9" i="19" s="1"/>
  <c r="P4" i="19"/>
  <c r="C6" i="19" s="1"/>
  <c r="E6" i="19" s="1"/>
  <c r="R3" i="19"/>
  <c r="R5" i="19"/>
  <c r="R4" i="19"/>
  <c r="P5" i="19"/>
  <c r="C7" i="19" s="1"/>
  <c r="E7" i="19" s="1"/>
  <c r="R8" i="19" l="1"/>
  <c r="P8" i="19"/>
  <c r="F44" i="18" l="1"/>
  <c r="E43" i="18"/>
  <c r="F43" i="18"/>
  <c r="W4" i="13" l="1"/>
  <c r="E10" i="13" s="1"/>
  <c r="W5" i="13"/>
  <c r="G10" i="13" s="1"/>
  <c r="W6" i="13"/>
  <c r="I10" i="13" s="1"/>
  <c r="W7" i="13"/>
  <c r="K10" i="13" s="1"/>
  <c r="W8" i="13"/>
  <c r="W3" i="13"/>
  <c r="C10" i="13" s="1"/>
  <c r="D27" i="13" s="1"/>
  <c r="D29" i="13" s="1"/>
  <c r="U4" i="13"/>
  <c r="U5" i="13"/>
  <c r="U6" i="13"/>
  <c r="U7" i="13"/>
  <c r="U8" i="13"/>
  <c r="U3" i="13"/>
  <c r="F46" i="18"/>
  <c r="E46" i="18"/>
  <c r="F14" i="18"/>
  <c r="E14" i="18"/>
  <c r="H21" i="13" l="1"/>
  <c r="H22" i="13" s="1"/>
  <c r="F21" i="13"/>
  <c r="F22" i="13" s="1"/>
  <c r="M15" i="13"/>
  <c r="J15" i="13" s="1"/>
  <c r="M12" i="13"/>
  <c r="J12" i="13" s="1"/>
  <c r="P12" i="13"/>
  <c r="M6" i="13"/>
  <c r="M5" i="13"/>
  <c r="F37" i="18"/>
  <c r="E37" i="18"/>
  <c r="M34" i="13"/>
  <c r="E30" i="18"/>
  <c r="M19" i="13"/>
  <c r="M26" i="13"/>
  <c r="F26" i="13" s="1"/>
  <c r="J26" i="13"/>
  <c r="X9" i="13"/>
  <c r="J18" i="13" s="1"/>
  <c r="J19" i="13" s="1"/>
  <c r="L19" i="13"/>
  <c r="E44" i="18"/>
  <c r="M25" i="13"/>
  <c r="L25" i="13" s="1"/>
  <c r="L21" i="13"/>
  <c r="L22" i="13" s="1"/>
  <c r="H15" i="13" l="1"/>
  <c r="M29" i="13"/>
  <c r="H26" i="13"/>
  <c r="F12" i="13"/>
  <c r="L26" i="13"/>
  <c r="L29" i="13" s="1"/>
  <c r="L12" i="13"/>
  <c r="H25" i="13"/>
  <c r="H12" i="13"/>
  <c r="L34" i="13"/>
  <c r="F25" i="13"/>
  <c r="F29" i="13" s="1"/>
  <c r="D18" i="13"/>
  <c r="D19" i="13" s="1"/>
  <c r="L15" i="13"/>
  <c r="F18" i="13"/>
  <c r="F19" i="13" s="1"/>
  <c r="H18" i="13"/>
  <c r="H19" i="13" s="1"/>
  <c r="F15" i="13"/>
  <c r="J25" i="13"/>
  <c r="J29" i="13" s="1"/>
  <c r="D12" i="13"/>
  <c r="D34" i="13"/>
  <c r="D15" i="13"/>
  <c r="E48" i="18"/>
  <c r="F48" i="18"/>
  <c r="H34" i="13"/>
  <c r="J34" i="13"/>
  <c r="F34" i="13"/>
  <c r="D21" i="13"/>
  <c r="H29" i="13" l="1"/>
  <c r="F49" i="18"/>
  <c r="M14" i="13" s="1"/>
  <c r="L14" i="13" s="1"/>
  <c r="E49" i="18"/>
  <c r="E51" i="18" s="1"/>
  <c r="F51" i="18"/>
  <c r="D22" i="13"/>
  <c r="D14" i="13" l="1"/>
  <c r="J14" i="13"/>
  <c r="F14" i="13"/>
  <c r="H14" i="13"/>
  <c r="E54" i="18"/>
  <c r="E53" i="18"/>
  <c r="E55" i="18" s="1"/>
  <c r="F53" i="18"/>
  <c r="F54" i="18"/>
  <c r="F55" i="18" l="1"/>
  <c r="J21" i="13" l="1"/>
  <c r="M7" i="13"/>
  <c r="J31" i="13" l="1"/>
  <c r="M31" i="13"/>
  <c r="L31" i="13"/>
  <c r="F31" i="13"/>
  <c r="H31" i="13"/>
  <c r="M21" i="13"/>
  <c r="J22" i="13"/>
  <c r="M22" i="13" l="1"/>
  <c r="M11" i="13" l="1"/>
  <c r="L11" i="13" l="1"/>
  <c r="L13" i="13" s="1"/>
  <c r="J11" i="13"/>
  <c r="J13" i="13" s="1"/>
  <c r="D11" i="13"/>
  <c r="D13" i="13" s="1"/>
  <c r="D16" i="13" s="1"/>
  <c r="D33" i="13" s="1"/>
  <c r="D35" i="13" s="1"/>
  <c r="M13" i="13"/>
  <c r="M16" i="13" s="1"/>
  <c r="F11" i="13"/>
  <c r="F13" i="13" s="1"/>
  <c r="H11" i="13"/>
  <c r="H13" i="13" s="1"/>
  <c r="F16" i="13" l="1"/>
  <c r="F33" i="13" s="1"/>
  <c r="F35" i="13" s="1"/>
  <c r="L16" i="13"/>
  <c r="L33" i="13" s="1"/>
  <c r="L35" i="13" s="1"/>
  <c r="H16" i="13"/>
  <c r="H33" i="13" s="1"/>
  <c r="H35" i="13" s="1"/>
  <c r="J16" i="13"/>
  <c r="J33" i="13" s="1"/>
  <c r="J35" i="13" s="1"/>
  <c r="M33" i="13"/>
  <c r="M3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 Telk</author>
  </authors>
  <commentList>
    <comment ref="E32" authorId="0" shapeId="0" xr:uid="{68666557-2E91-4D36-AE8D-1B97BB6DEB8D}">
      <text>
        <r>
          <rPr>
            <b/>
            <sz val="9"/>
            <color indexed="81"/>
            <rFont val="Tahoma"/>
            <family val="2"/>
            <charset val="186"/>
          </rPr>
          <t>Henri Telk:</t>
        </r>
        <r>
          <rPr>
            <sz val="9"/>
            <color indexed="81"/>
            <rFont val="Tahoma"/>
            <family val="2"/>
            <charset val="186"/>
          </rPr>
          <t xml:space="preserve">
Kõigile proportsioon</t>
        </r>
      </text>
    </comment>
    <comment ref="E33" authorId="0" shapeId="0" xr:uid="{AC0BA1D5-7687-4276-A09F-A4A30518A0FE}">
      <text>
        <r>
          <rPr>
            <b/>
            <sz val="9"/>
            <color indexed="81"/>
            <rFont val="Tahoma"/>
            <family val="2"/>
            <charset val="186"/>
          </rPr>
          <t>Henri Telk:</t>
        </r>
        <r>
          <rPr>
            <sz val="9"/>
            <color indexed="81"/>
            <rFont val="Tahoma"/>
            <family val="2"/>
            <charset val="186"/>
          </rPr>
          <t xml:space="preserve">
Kõigile proportsioon
</t>
        </r>
      </text>
    </comment>
    <comment ref="E34" authorId="0" shapeId="0" xr:uid="{A7E00C6F-E14E-45D4-86E2-5A809B9E63B6}">
      <text>
        <r>
          <rPr>
            <b/>
            <sz val="9"/>
            <color indexed="81"/>
            <rFont val="Tahoma"/>
            <family val="2"/>
            <charset val="186"/>
          </rPr>
          <t>Henri Telk:</t>
        </r>
        <r>
          <rPr>
            <sz val="9"/>
            <color indexed="81"/>
            <rFont val="Tahoma"/>
            <family val="2"/>
            <charset val="186"/>
          </rPr>
          <t xml:space="preserve">
2-4 SKAle
5 viienda üürnikele</t>
        </r>
      </text>
    </comment>
    <comment ref="E35" authorId="0" shapeId="0" xr:uid="{DC58419A-CB47-425D-A6B2-17D8440E16CC}">
      <text>
        <r>
          <rPr>
            <b/>
            <sz val="9"/>
            <color indexed="81"/>
            <rFont val="Tahoma"/>
            <family val="2"/>
            <charset val="186"/>
          </rPr>
          <t xml:space="preserve">Henri Telk:
</t>
        </r>
        <r>
          <rPr>
            <sz val="9"/>
            <color indexed="81"/>
            <rFont val="Tahoma"/>
            <family val="2"/>
            <charset val="186"/>
          </rPr>
          <t>Töökohtade arvu järgi</t>
        </r>
      </text>
    </comment>
    <comment ref="D47" authorId="0" shapeId="0" xr:uid="{E40825D4-DAAB-49F3-A1DC-7C7417C622BF}">
      <text>
        <r>
          <rPr>
            <b/>
            <sz val="9"/>
            <color indexed="81"/>
            <rFont val="Tahoma"/>
            <family val="2"/>
            <charset val="186"/>
          </rPr>
          <t>Henri Telk:</t>
        </r>
        <r>
          <rPr>
            <sz val="9"/>
            <color indexed="81"/>
            <rFont val="Tahoma"/>
            <family val="2"/>
            <charset val="186"/>
          </rPr>
          <t xml:space="preserve">
Kolm erinevat reservi: ehitus, prjekteerimine ja sisustus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 Telk</author>
  </authors>
  <commentList>
    <comment ref="Q7" authorId="0" shapeId="0" xr:uid="{7FDF044E-95D0-4270-AA0A-3C2E4D5201BA}">
      <text>
        <r>
          <rPr>
            <sz val="9"/>
            <color indexed="81"/>
            <rFont val="Tahoma"/>
            <family val="2"/>
            <charset val="186"/>
          </rPr>
          <t>5. korruse mööbli jagamisel vakantiga ei arvestata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 Telk</author>
  </authors>
  <commentList>
    <comment ref="B5" authorId="0" shapeId="0" xr:uid="{1D014626-ACD3-411D-991F-912A11710DC6}">
      <text>
        <r>
          <rPr>
            <sz val="9"/>
            <color indexed="81"/>
            <rFont val="Tahoma"/>
            <family val="2"/>
            <charset val="186"/>
          </rPr>
          <t>3x köögimööbel: 8250x3=24750
Klienditeenindussaali mööbel:
3800
SKA riidekapid: 20300</t>
        </r>
      </text>
    </comment>
    <comment ref="B6" authorId="0" shapeId="0" xr:uid="{EB93C6DB-5D11-4E01-A301-A1761ACDDDA0}">
      <text>
        <r>
          <rPr>
            <sz val="9"/>
            <color indexed="81"/>
            <rFont val="Tahoma"/>
            <family val="2"/>
            <charset val="186"/>
          </rPr>
          <t xml:space="preserve">riidekapid
</t>
        </r>
      </text>
    </comment>
    <comment ref="Q7" authorId="0" shapeId="0" xr:uid="{21E4E6C2-B589-45FF-BCA4-4EC7CB5279DE}">
      <text>
        <r>
          <rPr>
            <sz val="9"/>
            <color indexed="81"/>
            <rFont val="Tahoma"/>
            <family val="2"/>
            <charset val="186"/>
          </rPr>
          <t>5. korruse mööbli jagamisel vakantiga ei arvestata</t>
        </r>
      </text>
    </comment>
  </commentList>
</comments>
</file>

<file path=xl/sharedStrings.xml><?xml version="1.0" encoding="utf-8"?>
<sst xmlns="http://schemas.openxmlformats.org/spreadsheetml/2006/main" count="226" uniqueCount="146">
  <si>
    <t>Sisustus</t>
  </si>
  <si>
    <t>Projektijuhtimine</t>
  </si>
  <si>
    <t>Toode</t>
  </si>
  <si>
    <t>Toote hind</t>
  </si>
  <si>
    <t>SKA maksumus</t>
  </si>
  <si>
    <t>Kokku</t>
  </si>
  <si>
    <t>Üürnik</t>
  </si>
  <si>
    <t>Ainukasutuses pind</t>
  </si>
  <si>
    <t>Ühiskasutuses korruste pind</t>
  </si>
  <si>
    <t>Ühiskasutuses hoone pind</t>
  </si>
  <si>
    <t>Sotsiaalkindlustusamet</t>
  </si>
  <si>
    <t>Üüritav pind kokku</t>
  </si>
  <si>
    <t>Ehitus</t>
  </si>
  <si>
    <t>Projektijuhtimise kaudne kulu</t>
  </si>
  <si>
    <t>ALGVÄÄRTUSE SUMMA KUJUNEB:</t>
  </si>
  <si>
    <t>Sisustuse algväärtus</t>
  </si>
  <si>
    <t>Ehitus + Projektijuhtimise otsene kulu</t>
  </si>
  <si>
    <t>Rahandusministeerium</t>
  </si>
  <si>
    <t>Riia 15, Tartu</t>
  </si>
  <si>
    <t>Tervise Arengu Instituut</t>
  </si>
  <si>
    <t>Lisa nr 1</t>
  </si>
  <si>
    <t>Jrk
nr</t>
  </si>
  <si>
    <t xml:space="preserve">Töö nimetus </t>
  </si>
  <si>
    <t>Eeldatav maksumus, EUR, km ta</t>
  </si>
  <si>
    <t>Projekteerimine</t>
  </si>
  <si>
    <t>1.1.</t>
  </si>
  <si>
    <t xml:space="preserve">Projekteerimistööd (eskiis, põhiprojekt, tööprojekt, ekspertiisid) </t>
  </si>
  <si>
    <t>2.1.</t>
  </si>
  <si>
    <t xml:space="preserve">Ettevalmistus- ja lammutustööd </t>
  </si>
  <si>
    <t>2.2.</t>
  </si>
  <si>
    <t>Väliala tööd (sh parkla ja garaazi ehitus)</t>
  </si>
  <si>
    <t>2.3.</t>
  </si>
  <si>
    <t>Alused ja vundamendid</t>
  </si>
  <si>
    <t>2.4.</t>
  </si>
  <si>
    <t>Kandetarindid</t>
  </si>
  <si>
    <t>2.5.</t>
  </si>
  <si>
    <t>Fassaadielemendid ja katus</t>
  </si>
  <si>
    <t>2.6.</t>
  </si>
  <si>
    <t xml:space="preserve">Seinte ehitustööd </t>
  </si>
  <si>
    <t>2.7.</t>
  </si>
  <si>
    <t xml:space="preserve">Lagede ehitustööd </t>
  </si>
  <si>
    <t>2.8.</t>
  </si>
  <si>
    <t xml:space="preserve">Põrandate ehitustööd </t>
  </si>
  <si>
    <t>2.9.</t>
  </si>
  <si>
    <t xml:space="preserve">Siseviimistlustööd </t>
  </si>
  <si>
    <t>2.10.</t>
  </si>
  <si>
    <t>Uste ja suluste paigaldustööd (sh tuletõkke uksed)</t>
  </si>
  <si>
    <t>Eriosad</t>
  </si>
  <si>
    <t>3.1.</t>
  </si>
  <si>
    <t xml:space="preserve">Küte, ventilatsioon, jahutus ehitustööd </t>
  </si>
  <si>
    <t>3.2.</t>
  </si>
  <si>
    <t>Veevarustuse ja kanalisatsiooni ehitustööd</t>
  </si>
  <si>
    <t>3.3.</t>
  </si>
  <si>
    <t xml:space="preserve">Tugevvoolu ehitustööd </t>
  </si>
  <si>
    <t>3.4.</t>
  </si>
  <si>
    <t>Nõrkvoolu ehitustööd (sh ATS, läbipääs, kaamerad jms)</t>
  </si>
  <si>
    <t>Muud töövõtja kulud</t>
  </si>
  <si>
    <t>4.1.</t>
  </si>
  <si>
    <t>Töövõtja muud ehitusaegsed kulud, mis on seotud eelpool nimetatud tööde teostamisega, kuid ei sisaldu üleval pool olevates positsioonides (nt kooskõlastamised, mõõdistused, olme kulud, korraldus- ja üldkulud, kolimine vms)</t>
  </si>
  <si>
    <t>Tavasisustus (sisustus, inventar)</t>
  </si>
  <si>
    <t>5.1.</t>
  </si>
  <si>
    <t>San.ruumide kohtkindel inventar</t>
  </si>
  <si>
    <t>5.2.</t>
  </si>
  <si>
    <t>Viidad ja sildid</t>
  </si>
  <si>
    <t>5.3.</t>
  </si>
  <si>
    <t>Köögimööbel (koos tehnikaga) + eritellimusmööbel</t>
  </si>
  <si>
    <t>5.4.</t>
  </si>
  <si>
    <t>Kontorimööbel</t>
  </si>
  <si>
    <t>RKASi kaudsed kulud 2,5%</t>
  </si>
  <si>
    <t>TAI maksumus</t>
  </si>
  <si>
    <t>Kommentaar</t>
  </si>
  <si>
    <t>Ehitusaegne intress</t>
  </si>
  <si>
    <t>Tööde maksumus kokku koos km-ga:</t>
  </si>
  <si>
    <t>Jääkmaksumus kokku</t>
  </si>
  <si>
    <t>Büroo ehituse algväärtus</t>
  </si>
  <si>
    <t>Arendustegevus:</t>
  </si>
  <si>
    <t>Projekteerimine:</t>
  </si>
  <si>
    <t>Omanikujärelevalve sh</t>
  </si>
  <si>
    <t>Ekspertiis sh</t>
  </si>
  <si>
    <t>Liitumistasud sh</t>
  </si>
  <si>
    <t>Projektijuhtimisekulu sh</t>
  </si>
  <si>
    <t>Sisustus:</t>
  </si>
  <si>
    <t>Ehitustööde maksumus ilma reservita:</t>
  </si>
  <si>
    <t>Tellija reserv:</t>
  </si>
  <si>
    <t>TÖÖDE MAKSUMUS KOKKU:</t>
  </si>
  <si>
    <t>TÖÖDE MAKSUMUS KAUDSETE KULUDEGA:</t>
  </si>
  <si>
    <t>TÖÖDE MAKSUMUS VÄLISRAHASTUSEGA:</t>
  </si>
  <si>
    <t>Käibemaks 20%</t>
  </si>
  <si>
    <t>Kunst</t>
  </si>
  <si>
    <t>Garaaži ehitus</t>
  </si>
  <si>
    <t>Garaaži ehituse algväärtus</t>
  </si>
  <si>
    <t>Garaažis kohti</t>
  </si>
  <si>
    <t>Investeering kokku</t>
  </si>
  <si>
    <t>Investeering (maha arvatud välisrahastusega kaetav osa)</t>
  </si>
  <si>
    <t>CO2 välisrahastus</t>
  </si>
  <si>
    <t>Köögimööbel</t>
  </si>
  <si>
    <r>
      <t xml:space="preserve">Sisustus </t>
    </r>
    <r>
      <rPr>
        <b/>
        <sz val="10"/>
        <color theme="1"/>
        <rFont val="Arial"/>
        <family val="2"/>
        <charset val="186"/>
      </rPr>
      <t>(v.a San.ruumide kohtkindel inventar, viidad ja sildid)</t>
    </r>
  </si>
  <si>
    <t>vaata jaotust üürnike vahel lehel Kontorimööbel</t>
  </si>
  <si>
    <t>CO2 välisrahastus:</t>
  </si>
  <si>
    <t>Kokku (garaažita)</t>
  </si>
  <si>
    <t>Üürilepingu nr Ü17382/19  lisale nr 6.1</t>
  </si>
  <si>
    <t>Tarbijakaitse ja Tehnilise Järelevalve Amet</t>
  </si>
  <si>
    <t>Aktiivne vakantsus</t>
  </si>
  <si>
    <t>Passiivne vakantsus</t>
  </si>
  <si>
    <t/>
  </si>
  <si>
    <t>Tööde loetelu ja tegelik maksumus - Riia tn 15, Tartu</t>
  </si>
  <si>
    <t>SKA kogus</t>
  </si>
  <si>
    <t>RaM kogus</t>
  </si>
  <si>
    <t>RaM maksumus</t>
  </si>
  <si>
    <t>TAI kogus</t>
  </si>
  <si>
    <t>TTJA mksumus</t>
  </si>
  <si>
    <t>TTJA kogus</t>
  </si>
  <si>
    <t>Vakants kogus</t>
  </si>
  <si>
    <t>Vakants maksumus</t>
  </si>
  <si>
    <t>Tegelik maksumus, 
EUR, km-ta</t>
  </si>
  <si>
    <t>Muud tellija ehitusaegsed kulud sh</t>
  </si>
  <si>
    <t>Ainukasutus</t>
  </si>
  <si>
    <t>Hoone ÜLD</t>
  </si>
  <si>
    <t>Eritellimusmööbel</t>
  </si>
  <si>
    <t>Ühiskasutuses muu pind</t>
  </si>
  <si>
    <t>Osakaal</t>
  </si>
  <si>
    <t>2.2.1.</t>
  </si>
  <si>
    <t>sh Garaaž</t>
  </si>
  <si>
    <t>2.2.2.</t>
  </si>
  <si>
    <t>sh Väliala tööd ja parkla</t>
  </si>
  <si>
    <t>Osakaal (garaažita)</t>
  </si>
  <si>
    <t>5. korrduse ÜLD</t>
  </si>
  <si>
    <t>5. korruse üürnikud</t>
  </si>
  <si>
    <t>Mööbli maksumus KOKKU</t>
  </si>
  <si>
    <t>Üürnikule kokku</t>
  </si>
  <si>
    <t>5. korrusel osakaal</t>
  </si>
  <si>
    <t>Kokku vakantsita</t>
  </si>
  <si>
    <t>Osakaal vakantsita</t>
  </si>
  <si>
    <t>*Üürnik tasub eritellimusmööbli eest kokku: ainukasutus + 5 korrus ÜLD*(proportsioon 5 korruse üürnike pinnast) + Hoone ÜLD*(proportsioon vakantsita pinnast)</t>
  </si>
  <si>
    <t>vaata jaotust üürnike vahel lehel Eritellimusmööbel</t>
  </si>
  <si>
    <r>
      <t>*Üürnik tasub kontorimööbli eest kokku: ainukasutus + 5 korrus ÜLD*</t>
    </r>
    <r>
      <rPr>
        <i/>
        <sz val="11"/>
        <rFont val="Calibri"/>
        <family val="2"/>
        <scheme val="minor"/>
      </rPr>
      <t xml:space="preserve">(proportsioon 5 korruse üürnike pinnast) </t>
    </r>
    <r>
      <rPr>
        <sz val="11"/>
        <rFont val="Calibri"/>
        <family val="2"/>
        <scheme val="minor"/>
      </rPr>
      <t>+ Hoone ÜLD*</t>
    </r>
    <r>
      <rPr>
        <i/>
        <sz val="11"/>
        <rFont val="Calibri"/>
        <family val="2"/>
        <scheme val="minor"/>
      </rPr>
      <t>(proportsioon vakantsita pinnast)</t>
    </r>
  </si>
  <si>
    <t>Jääkmaksumus investeering (ehitus) 10a</t>
  </si>
  <si>
    <t>Jääkmaksumus investeering (garaaž) 10a</t>
  </si>
  <si>
    <t>Jääkmaksumus investeering (ehitus) 20a</t>
  </si>
  <si>
    <t>Jääkmaksumus investeering (garaaž) 20a</t>
  </si>
  <si>
    <t>Jääkmaksumus (ehitus) 10a</t>
  </si>
  <si>
    <t>Jääkmaksumus (ehitus) 20a</t>
  </si>
  <si>
    <t>Jääkmaksumus (garaaž) 10a</t>
  </si>
  <si>
    <t>Jääkmaksumus (garaaž) 20a</t>
  </si>
  <si>
    <t>Sisustuse remonttööd € kuus 10a</t>
  </si>
  <si>
    <t>Sisustuse taastamine kokku kuus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</si>
</sst>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_-* #,##0.00\ _k_r_-;\-* #,##0.00\ _k_r_-;_-* &quot;-&quot;??\ _k_r_-;_-@_-"/>
    <numFmt numFmtId="167" formatCode="_(* #,##0.00_);_(* \(#,##0.00\);_(* &quot;-&quot;??_);_(@_)"/>
    <numFmt numFmtId="168" formatCode="0.000%"/>
    <numFmt numFmtId="169" formatCode="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color rgb="FFFF0000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86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505050"/>
      </left>
      <right style="thin">
        <color indexed="64"/>
      </right>
      <top style="medium">
        <color indexed="64"/>
      </top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0" borderId="0"/>
    <xf numFmtId="0" fontId="2" fillId="0" borderId="0"/>
    <xf numFmtId="0" fontId="20" fillId="0" borderId="0"/>
    <xf numFmtId="0" fontId="21" fillId="0" borderId="0"/>
    <xf numFmtId="0" fontId="22" fillId="0" borderId="0"/>
    <xf numFmtId="167" fontId="2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/>
    </xf>
    <xf numFmtId="0" fontId="3" fillId="0" borderId="8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1" fillId="4" borderId="1" xfId="0" applyFont="1" applyFill="1" applyBorder="1" applyProtection="1">
      <protection hidden="1"/>
    </xf>
    <xf numFmtId="165" fontId="1" fillId="4" borderId="1" xfId="0" applyNumberFormat="1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3" fillId="0" borderId="0" xfId="0" applyFont="1"/>
    <xf numFmtId="0" fontId="0" fillId="0" borderId="1" xfId="0" applyBorder="1"/>
    <xf numFmtId="4" fontId="6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3" fillId="0" borderId="9" xfId="0" applyNumberFormat="1" applyFont="1" applyBorder="1"/>
    <xf numFmtId="4" fontId="0" fillId="0" borderId="0" xfId="0" applyNumberFormat="1"/>
    <xf numFmtId="4" fontId="5" fillId="0" borderId="0" xfId="0" applyNumberFormat="1" applyFont="1" applyAlignment="1">
      <alignment horizontal="left"/>
    </xf>
    <xf numFmtId="4" fontId="0" fillId="0" borderId="14" xfId="0" applyNumberFormat="1" applyBorder="1"/>
    <xf numFmtId="4" fontId="3" fillId="0" borderId="14" xfId="0" applyNumberFormat="1" applyFont="1" applyBorder="1"/>
    <xf numFmtId="4" fontId="5" fillId="0" borderId="0" xfId="0" applyNumberFormat="1" applyFont="1"/>
    <xf numFmtId="4" fontId="0" fillId="0" borderId="13" xfId="0" applyNumberFormat="1" applyBorder="1"/>
    <xf numFmtId="0" fontId="12" fillId="0" borderId="0" xfId="0" applyFont="1"/>
    <xf numFmtId="0" fontId="13" fillId="0" borderId="0" xfId="0" applyFont="1"/>
    <xf numFmtId="4" fontId="13" fillId="6" borderId="16" xfId="0" applyNumberFormat="1" applyFont="1" applyFill="1" applyBorder="1"/>
    <xf numFmtId="4" fontId="3" fillId="4" borderId="0" xfId="0" applyNumberFormat="1" applyFont="1" applyFill="1"/>
    <xf numFmtId="0" fontId="3" fillId="3" borderId="17" xfId="0" applyFont="1" applyFill="1" applyBorder="1" applyAlignment="1">
      <alignment horizontal="center"/>
    </xf>
    <xf numFmtId="3" fontId="7" fillId="3" borderId="7" xfId="0" applyNumberFormat="1" applyFont="1" applyFill="1" applyBorder="1"/>
    <xf numFmtId="3" fontId="0" fillId="3" borderId="15" xfId="0" applyNumberFormat="1" applyFill="1" applyBorder="1"/>
    <xf numFmtId="3" fontId="13" fillId="3" borderId="15" xfId="0" applyNumberFormat="1" applyFont="1" applyFill="1" applyBorder="1"/>
    <xf numFmtId="3" fontId="12" fillId="3" borderId="15" xfId="0" applyNumberFormat="1" applyFont="1" applyFill="1" applyBorder="1"/>
    <xf numFmtId="3" fontId="0" fillId="0" borderId="15" xfId="0" applyNumberFormat="1" applyBorder="1"/>
    <xf numFmtId="0" fontId="15" fillId="0" borderId="0" xfId="0" applyFont="1"/>
    <xf numFmtId="0" fontId="14" fillId="8" borderId="19" xfId="0" applyFont="1" applyFill="1" applyBorder="1"/>
    <xf numFmtId="4" fontId="0" fillId="0" borderId="20" xfId="0" applyNumberFormat="1" applyBorder="1"/>
    <xf numFmtId="0" fontId="14" fillId="8" borderId="24" xfId="0" applyFont="1" applyFill="1" applyBorder="1"/>
    <xf numFmtId="0" fontId="13" fillId="6" borderId="25" xfId="0" applyFont="1" applyFill="1" applyBorder="1"/>
    <xf numFmtId="0" fontId="13" fillId="6" borderId="24" xfId="0" applyFont="1" applyFill="1" applyBorder="1"/>
    <xf numFmtId="0" fontId="0" fillId="0" borderId="24" xfId="0" applyBorder="1"/>
    <xf numFmtId="0" fontId="3" fillId="4" borderId="24" xfId="0" applyFont="1" applyFill="1" applyBorder="1"/>
    <xf numFmtId="3" fontId="13" fillId="3" borderId="7" xfId="0" applyNumberFormat="1" applyFont="1" applyFill="1" applyBorder="1"/>
    <xf numFmtId="3" fontId="0" fillId="0" borderId="23" xfId="0" applyNumberFormat="1" applyBorder="1"/>
    <xf numFmtId="3" fontId="0" fillId="0" borderId="0" xfId="0" applyNumberFormat="1"/>
    <xf numFmtId="0" fontId="13" fillId="7" borderId="26" xfId="0" applyFont="1" applyFill="1" applyBorder="1"/>
    <xf numFmtId="3" fontId="13" fillId="7" borderId="17" xfId="0" applyNumberFormat="1" applyFont="1" applyFill="1" applyBorder="1"/>
    <xf numFmtId="164" fontId="2" fillId="7" borderId="2" xfId="3" applyNumberForma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4" fontId="0" fillId="0" borderId="28" xfId="0" applyNumberFormat="1" applyBorder="1"/>
    <xf numFmtId="4" fontId="3" fillId="0" borderId="32" xfId="0" applyNumberFormat="1" applyFont="1" applyBorder="1"/>
    <xf numFmtId="0" fontId="13" fillId="5" borderId="24" xfId="0" applyFont="1" applyFill="1" applyBorder="1"/>
    <xf numFmtId="3" fontId="13" fillId="6" borderId="6" xfId="0" applyNumberFormat="1" applyFont="1" applyFill="1" applyBorder="1"/>
    <xf numFmtId="3" fontId="13" fillId="6" borderId="5" xfId="0" applyNumberFormat="1" applyFont="1" applyFill="1" applyBorder="1"/>
    <xf numFmtId="3" fontId="13" fillId="6" borderId="16" xfId="0" applyNumberFormat="1" applyFont="1" applyFill="1" applyBorder="1"/>
    <xf numFmtId="3" fontId="13" fillId="6" borderId="28" xfId="0" applyNumberFormat="1" applyFont="1" applyFill="1" applyBorder="1"/>
    <xf numFmtId="3" fontId="13" fillId="6" borderId="11" xfId="0" applyNumberFormat="1" applyFont="1" applyFill="1" applyBorder="1"/>
    <xf numFmtId="3" fontId="12" fillId="5" borderId="28" xfId="0" applyNumberFormat="1" applyFont="1" applyFill="1" applyBorder="1"/>
    <xf numFmtId="3" fontId="12" fillId="5" borderId="0" xfId="0" applyNumberFormat="1" applyFont="1" applyFill="1"/>
    <xf numFmtId="3" fontId="13" fillId="7" borderId="29" xfId="0" applyNumberFormat="1" applyFont="1" applyFill="1" applyBorder="1"/>
    <xf numFmtId="3" fontId="13" fillId="7" borderId="10" xfId="0" applyNumberFormat="1" applyFont="1" applyFill="1" applyBorder="1"/>
    <xf numFmtId="3" fontId="13" fillId="7" borderId="27" xfId="0" applyNumberFormat="1" applyFont="1" applyFill="1" applyBorder="1"/>
    <xf numFmtId="3" fontId="12" fillId="0" borderId="28" xfId="0" applyNumberFormat="1" applyFont="1" applyBorder="1"/>
    <xf numFmtId="3" fontId="12" fillId="0" borderId="11" xfId="0" applyNumberFormat="1" applyFont="1" applyBorder="1"/>
    <xf numFmtId="3" fontId="13" fillId="7" borderId="10" xfId="0" applyNumberFormat="1" applyFont="1" applyFill="1" applyBorder="1" applyAlignment="1">
      <alignment horizontal="center"/>
    </xf>
    <xf numFmtId="0" fontId="1" fillId="0" borderId="0" xfId="0" applyFont="1" applyProtection="1">
      <protection hidden="1"/>
    </xf>
    <xf numFmtId="4" fontId="3" fillId="0" borderId="0" xfId="0" applyNumberFormat="1" applyFont="1"/>
    <xf numFmtId="0" fontId="0" fillId="0" borderId="0" xfId="0" quotePrefix="1"/>
    <xf numFmtId="4" fontId="0" fillId="0" borderId="0" xfId="0" applyNumberFormat="1" applyBorder="1"/>
    <xf numFmtId="4" fontId="3" fillId="0" borderId="11" xfId="0" applyNumberFormat="1" applyFont="1" applyBorder="1"/>
    <xf numFmtId="3" fontId="13" fillId="6" borderId="0" xfId="0" applyNumberFormat="1" applyFont="1" applyFill="1" applyBorder="1"/>
    <xf numFmtId="3" fontId="12" fillId="0" borderId="0" xfId="0" applyNumberFormat="1" applyFont="1" applyBorder="1"/>
    <xf numFmtId="3" fontId="0" fillId="0" borderId="0" xfId="0" applyNumberFormat="1" applyBorder="1"/>
    <xf numFmtId="0" fontId="3" fillId="0" borderId="0" xfId="0" applyFont="1" applyBorder="1"/>
    <xf numFmtId="0" fontId="0" fillId="0" borderId="0" xfId="0" applyBorder="1"/>
    <xf numFmtId="0" fontId="12" fillId="0" borderId="0" xfId="0" applyFont="1" applyBorder="1"/>
    <xf numFmtId="3" fontId="13" fillId="0" borderId="0" xfId="0" applyNumberFormat="1" applyFont="1" applyBorder="1"/>
    <xf numFmtId="0" fontId="13" fillId="0" borderId="0" xfId="0" applyFont="1" applyBorder="1"/>
    <xf numFmtId="3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4" fontId="3" fillId="4" borderId="28" xfId="0" applyNumberFormat="1" applyFont="1" applyFill="1" applyBorder="1"/>
    <xf numFmtId="0" fontId="0" fillId="0" borderId="0" xfId="0" applyFill="1" applyBorder="1"/>
    <xf numFmtId="165" fontId="1" fillId="0" borderId="0" xfId="0" applyNumberFormat="1" applyFont="1" applyFill="1" applyBorder="1" applyProtection="1">
      <protection hidden="1"/>
    </xf>
    <xf numFmtId="164" fontId="0" fillId="0" borderId="0" xfId="3" applyNumberFormat="1" applyFont="1" applyFill="1" applyBorder="1"/>
    <xf numFmtId="164" fontId="0" fillId="0" borderId="0" xfId="0" applyNumberFormat="1" applyFill="1" applyBorder="1"/>
    <xf numFmtId="4" fontId="1" fillId="4" borderId="1" xfId="0" applyNumberFormat="1" applyFont="1" applyFill="1" applyBorder="1" applyProtection="1">
      <protection hidden="1"/>
    </xf>
    <xf numFmtId="0" fontId="0" fillId="0" borderId="39" xfId="0" applyBorder="1"/>
    <xf numFmtId="0" fontId="0" fillId="0" borderId="33" xfId="0" applyBorder="1"/>
    <xf numFmtId="3" fontId="8" fillId="0" borderId="0" xfId="0" applyNumberFormat="1" applyFont="1" applyFill="1"/>
    <xf numFmtId="0" fontId="21" fillId="0" borderId="0" xfId="12"/>
    <xf numFmtId="0" fontId="25" fillId="0" borderId="0" xfId="12" applyFont="1" applyAlignment="1">
      <alignment vertical="center"/>
    </xf>
    <xf numFmtId="0" fontId="26" fillId="0" borderId="0" xfId="12" applyFont="1"/>
    <xf numFmtId="0" fontId="25" fillId="0" borderId="2" xfId="12" applyFont="1" applyBorder="1" applyAlignment="1">
      <alignment vertical="center" wrapText="1"/>
    </xf>
    <xf numFmtId="0" fontId="25" fillId="0" borderId="34" xfId="12" applyFont="1" applyBorder="1" applyAlignment="1">
      <alignment vertical="center" wrapText="1"/>
    </xf>
    <xf numFmtId="0" fontId="28" fillId="0" borderId="2" xfId="12" applyFont="1" applyBorder="1" applyAlignment="1">
      <alignment vertical="center" wrapText="1"/>
    </xf>
    <xf numFmtId="2" fontId="28" fillId="0" borderId="2" xfId="12" applyNumberFormat="1" applyFont="1" applyBorder="1" applyAlignment="1">
      <alignment vertical="center" wrapText="1"/>
    </xf>
    <xf numFmtId="2" fontId="28" fillId="0" borderId="34" xfId="12" applyNumberFormat="1" applyFont="1" applyBorder="1" applyAlignment="1">
      <alignment vertical="center" wrapText="1"/>
    </xf>
    <xf numFmtId="0" fontId="27" fillId="0" borderId="2" xfId="12" applyFont="1" applyBorder="1" applyAlignment="1">
      <alignment vertical="center" wrapText="1"/>
    </xf>
    <xf numFmtId="2" fontId="28" fillId="0" borderId="5" xfId="12" applyNumberFormat="1" applyFont="1" applyBorder="1" applyAlignment="1">
      <alignment vertical="center" wrapText="1"/>
    </xf>
    <xf numFmtId="2" fontId="28" fillId="0" borderId="6" xfId="12" applyNumberFormat="1" applyFont="1" applyBorder="1" applyAlignment="1">
      <alignment vertical="center" wrapText="1"/>
    </xf>
    <xf numFmtId="0" fontId="28" fillId="0" borderId="1" xfId="12" applyFont="1" applyBorder="1" applyAlignment="1">
      <alignment vertical="center" wrapText="1"/>
    </xf>
    <xf numFmtId="2" fontId="28" fillId="0" borderId="0" xfId="12" applyNumberFormat="1" applyFont="1" applyAlignment="1">
      <alignment vertical="center" wrapText="1"/>
    </xf>
    <xf numFmtId="2" fontId="28" fillId="0" borderId="28" xfId="12" applyNumberFormat="1" applyFont="1" applyBorder="1" applyAlignment="1">
      <alignment vertical="center" wrapText="1"/>
    </xf>
    <xf numFmtId="2" fontId="28" fillId="0" borderId="11" xfId="12" applyNumberFormat="1" applyFont="1" applyBorder="1" applyAlignment="1">
      <alignment vertical="center" wrapText="1"/>
    </xf>
    <xf numFmtId="2" fontId="27" fillId="0" borderId="11" xfId="12" applyNumberFormat="1" applyFont="1" applyBorder="1" applyAlignment="1">
      <alignment vertical="center" wrapText="1"/>
    </xf>
    <xf numFmtId="16" fontId="28" fillId="0" borderId="2" xfId="12" applyNumberFormat="1" applyFont="1" applyBorder="1" applyAlignment="1">
      <alignment vertical="center" wrapText="1"/>
    </xf>
    <xf numFmtId="2" fontId="27" fillId="0" borderId="2" xfId="12" applyNumberFormat="1" applyFont="1" applyBorder="1" applyAlignment="1">
      <alignment vertical="center" wrapText="1"/>
    </xf>
    <xf numFmtId="0" fontId="21" fillId="0" borderId="1" xfId="12" applyBorder="1"/>
    <xf numFmtId="0" fontId="27" fillId="0" borderId="1" xfId="12" applyFont="1" applyBorder="1" applyAlignment="1">
      <alignment horizontal="right" vertical="center"/>
    </xf>
    <xf numFmtId="0" fontId="30" fillId="0" borderId="0" xfId="12" applyFont="1"/>
    <xf numFmtId="4" fontId="30" fillId="0" borderId="0" xfId="12" applyNumberFormat="1" applyFont="1" applyAlignment="1">
      <alignment horizontal="right"/>
    </xf>
    <xf numFmtId="3" fontId="12" fillId="5" borderId="30" xfId="0" applyNumberFormat="1" applyFont="1" applyFill="1" applyBorder="1"/>
    <xf numFmtId="0" fontId="12" fillId="5" borderId="0" xfId="0" applyFont="1" applyFill="1" applyBorder="1" applyAlignment="1">
      <alignment horizontal="center"/>
    </xf>
    <xf numFmtId="4" fontId="12" fillId="5" borderId="28" xfId="0" applyNumberFormat="1" applyFont="1" applyFill="1" applyBorder="1"/>
    <xf numFmtId="4" fontId="12" fillId="5" borderId="30" xfId="0" applyNumberFormat="1" applyFont="1" applyFill="1" applyBorder="1"/>
    <xf numFmtId="0" fontId="0" fillId="0" borderId="30" xfId="0" applyBorder="1"/>
    <xf numFmtId="4" fontId="0" fillId="0" borderId="4" xfId="0" applyNumberFormat="1" applyBorder="1"/>
    <xf numFmtId="4" fontId="0" fillId="0" borderId="38" xfId="0" applyNumberFormat="1" applyBorder="1"/>
    <xf numFmtId="3" fontId="3" fillId="0" borderId="13" xfId="0" applyNumberFormat="1" applyFont="1" applyBorder="1"/>
    <xf numFmtId="0" fontId="3" fillId="2" borderId="6" xfId="0" applyFont="1" applyFill="1" applyBorder="1" applyAlignment="1">
      <alignment horizontal="right"/>
    </xf>
    <xf numFmtId="3" fontId="12" fillId="3" borderId="18" xfId="0" applyNumberFormat="1" applyFont="1" applyFill="1" applyBorder="1"/>
    <xf numFmtId="4" fontId="3" fillId="0" borderId="9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0" fillId="0" borderId="0" xfId="0" applyAlignment="1">
      <alignment horizontal="right"/>
    </xf>
    <xf numFmtId="3" fontId="12" fillId="6" borderId="28" xfId="0" applyNumberFormat="1" applyFont="1" applyFill="1" applyBorder="1"/>
    <xf numFmtId="3" fontId="12" fillId="6" borderId="0" xfId="0" applyNumberFormat="1" applyFont="1" applyFill="1" applyBorder="1"/>
    <xf numFmtId="3" fontId="12" fillId="6" borderId="11" xfId="0" applyNumberFormat="1" applyFont="1" applyFill="1" applyBorder="1"/>
    <xf numFmtId="10" fontId="0" fillId="4" borderId="1" xfId="3" applyNumberFormat="1" applyFont="1" applyFill="1" applyBorder="1"/>
    <xf numFmtId="10" fontId="12" fillId="0" borderId="0" xfId="3" applyNumberFormat="1" applyFont="1" applyBorder="1"/>
    <xf numFmtId="10" fontId="2" fillId="7" borderId="2" xfId="3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4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24" xfId="0" applyFont="1" applyFill="1" applyBorder="1"/>
    <xf numFmtId="3" fontId="12" fillId="0" borderId="0" xfId="0" applyNumberFormat="1" applyFont="1" applyFill="1"/>
    <xf numFmtId="3" fontId="12" fillId="0" borderId="28" xfId="0" applyNumberFormat="1" applyFont="1" applyFill="1" applyBorder="1"/>
    <xf numFmtId="3" fontId="12" fillId="0" borderId="15" xfId="0" applyNumberFormat="1" applyFont="1" applyFill="1" applyBorder="1"/>
    <xf numFmtId="0" fontId="13" fillId="6" borderId="0" xfId="0" applyFont="1" applyFill="1" applyBorder="1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4" fontId="13" fillId="6" borderId="28" xfId="0" applyNumberFormat="1" applyFont="1" applyFill="1" applyBorder="1"/>
    <xf numFmtId="4" fontId="13" fillId="7" borderId="29" xfId="0" applyNumberFormat="1" applyFont="1" applyFill="1" applyBorder="1"/>
    <xf numFmtId="4" fontId="12" fillId="0" borderId="28" xfId="0" applyNumberFormat="1" applyFont="1" applyBorder="1"/>
    <xf numFmtId="4" fontId="13" fillId="6" borderId="6" xfId="0" applyNumberFormat="1" applyFont="1" applyFill="1" applyBorder="1"/>
    <xf numFmtId="4" fontId="12" fillId="0" borderId="28" xfId="0" applyNumberFormat="1" applyFont="1" applyFill="1" applyBorder="1"/>
    <xf numFmtId="168" fontId="12" fillId="0" borderId="0" xfId="3" applyNumberFormat="1" applyFont="1" applyBorder="1"/>
    <xf numFmtId="1" fontId="0" fillId="2" borderId="1" xfId="3" applyNumberFormat="1" applyFont="1" applyFill="1" applyBorder="1"/>
    <xf numFmtId="0" fontId="21" fillId="0" borderId="0" xfId="12" applyBorder="1"/>
    <xf numFmtId="0" fontId="32" fillId="0" borderId="1" xfId="12" applyFont="1" applyBorder="1" applyAlignment="1">
      <alignment horizontal="right"/>
    </xf>
    <xf numFmtId="0" fontId="31" fillId="0" borderId="1" xfId="12" applyFont="1" applyBorder="1" applyAlignment="1">
      <alignment horizontal="right" vertical="center"/>
    </xf>
    <xf numFmtId="0" fontId="21" fillId="0" borderId="0" xfId="12" applyFill="1" applyBorder="1"/>
    <xf numFmtId="0" fontId="28" fillId="0" borderId="0" xfId="12" applyFont="1" applyFill="1" applyBorder="1" applyAlignment="1">
      <alignment vertical="center" wrapText="1"/>
    </xf>
    <xf numFmtId="0" fontId="26" fillId="0" borderId="0" xfId="12" applyFont="1" applyFill="1" applyBorder="1"/>
    <xf numFmtId="164" fontId="29" fillId="0" borderId="0" xfId="12" applyNumberFormat="1" applyFont="1" applyFill="1" applyBorder="1" applyAlignment="1">
      <alignment horizontal="right"/>
    </xf>
    <xf numFmtId="4" fontId="25" fillId="0" borderId="0" xfId="12" applyNumberFormat="1" applyFont="1" applyFill="1" applyBorder="1" applyAlignment="1">
      <alignment vertical="center" wrapText="1"/>
    </xf>
    <xf numFmtId="4" fontId="21" fillId="0" borderId="0" xfId="12" applyNumberFormat="1" applyFill="1" applyBorder="1"/>
    <xf numFmtId="0" fontId="26" fillId="0" borderId="0" xfId="12" applyFont="1" applyFill="1" applyBorder="1" applyAlignment="1">
      <alignment horizontal="right"/>
    </xf>
    <xf numFmtId="0" fontId="28" fillId="0" borderId="1" xfId="12" applyFont="1" applyBorder="1" applyAlignment="1">
      <alignment horizontal="center" vertical="center" wrapText="1"/>
    </xf>
    <xf numFmtId="0" fontId="28" fillId="0" borderId="1" xfId="12" applyFont="1" applyBorder="1" applyAlignment="1">
      <alignment horizontal="right" vertical="center"/>
    </xf>
    <xf numFmtId="9" fontId="26" fillId="0" borderId="1" xfId="12" applyNumberFormat="1" applyFont="1" applyBorder="1" applyAlignment="1">
      <alignment horizontal="right"/>
    </xf>
    <xf numFmtId="4" fontId="23" fillId="0" borderId="0" xfId="13" applyNumberFormat="1" applyFont="1" applyAlignment="1">
      <alignment horizontal="right"/>
    </xf>
    <xf numFmtId="4" fontId="22" fillId="0" borderId="0" xfId="13" applyNumberFormat="1" applyAlignment="1">
      <alignment horizontal="right"/>
    </xf>
    <xf numFmtId="4" fontId="21" fillId="0" borderId="0" xfId="12" applyNumberFormat="1" applyAlignment="1">
      <alignment horizontal="center"/>
    </xf>
    <xf numFmtId="4" fontId="21" fillId="0" borderId="0" xfId="12" applyNumberFormat="1" applyFill="1" applyBorder="1" applyAlignment="1">
      <alignment horizontal="center"/>
    </xf>
    <xf numFmtId="4" fontId="21" fillId="0" borderId="0" xfId="12" applyNumberFormat="1" applyBorder="1" applyAlignment="1">
      <alignment horizontal="center"/>
    </xf>
    <xf numFmtId="2" fontId="0" fillId="0" borderId="0" xfId="3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3" fillId="0" borderId="0" xfId="0" applyFont="1" applyFill="1" applyBorder="1"/>
    <xf numFmtId="4" fontId="35" fillId="0" borderId="0" xfId="0" applyNumberFormat="1" applyFont="1"/>
    <xf numFmtId="0" fontId="0" fillId="0" borderId="19" xfId="0" applyBorder="1"/>
    <xf numFmtId="4" fontId="0" fillId="0" borderId="40" xfId="0" applyNumberFormat="1" applyBorder="1"/>
    <xf numFmtId="0" fontId="0" fillId="0" borderId="20" xfId="0" applyBorder="1" applyAlignment="1">
      <alignment horizontal="center"/>
    </xf>
    <xf numFmtId="3" fontId="0" fillId="0" borderId="40" xfId="0" applyNumberFormat="1" applyBorder="1"/>
    <xf numFmtId="3" fontId="0" fillId="0" borderId="20" xfId="0" applyNumberFormat="1" applyBorder="1"/>
    <xf numFmtId="3" fontId="0" fillId="0" borderId="22" xfId="0" applyNumberFormat="1" applyBorder="1" applyAlignment="1">
      <alignment horizontal="center"/>
    </xf>
    <xf numFmtId="4" fontId="0" fillId="4" borderId="0" xfId="0" applyNumberFormat="1" applyFill="1" applyBorder="1"/>
    <xf numFmtId="0" fontId="0" fillId="4" borderId="11" xfId="0" applyFill="1" applyBorder="1" applyAlignment="1">
      <alignment horizontal="center"/>
    </xf>
    <xf numFmtId="0" fontId="13" fillId="6" borderId="0" xfId="0" applyFont="1" applyFill="1" applyBorder="1"/>
    <xf numFmtId="4" fontId="13" fillId="6" borderId="0" xfId="0" applyNumberFormat="1" applyFont="1" applyFill="1" applyBorder="1"/>
    <xf numFmtId="0" fontId="13" fillId="6" borderId="11" xfId="0" applyFont="1" applyFill="1" applyBorder="1" applyAlignment="1">
      <alignment horizontal="center"/>
    </xf>
    <xf numFmtId="3" fontId="36" fillId="7" borderId="17" xfId="0" applyNumberFormat="1" applyFont="1" applyFill="1" applyBorder="1"/>
    <xf numFmtId="3" fontId="3" fillId="4" borderId="28" xfId="0" applyNumberFormat="1" applyFont="1" applyFill="1" applyBorder="1"/>
    <xf numFmtId="3" fontId="3" fillId="4" borderId="0" xfId="0" applyNumberFormat="1" applyFont="1" applyFill="1" applyBorder="1"/>
    <xf numFmtId="3" fontId="0" fillId="0" borderId="28" xfId="0" applyNumberFormat="1" applyBorder="1"/>
    <xf numFmtId="3" fontId="0" fillId="0" borderId="0" xfId="0" applyNumberFormat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0" borderId="4" xfId="0" applyNumberFormat="1" applyFont="1" applyBorder="1"/>
    <xf numFmtId="3" fontId="3" fillId="0" borderId="0" xfId="0" applyNumberFormat="1" applyFont="1" applyAlignment="1">
      <alignment horizontal="center"/>
    </xf>
    <xf numFmtId="3" fontId="0" fillId="4" borderId="0" xfId="0" applyNumberFormat="1" applyFill="1" applyBorder="1" applyAlignment="1">
      <alignment horizontal="right"/>
    </xf>
    <xf numFmtId="0" fontId="28" fillId="0" borderId="43" xfId="12" applyFont="1" applyBorder="1" applyAlignment="1">
      <alignment horizontal="center" vertical="center" wrapText="1"/>
    </xf>
    <xf numFmtId="0" fontId="28" fillId="0" borderId="44" xfId="12" applyFont="1" applyBorder="1" applyAlignment="1">
      <alignment horizontal="center" vertical="center" wrapText="1"/>
    </xf>
    <xf numFmtId="0" fontId="27" fillId="0" borderId="44" xfId="12" applyFont="1" applyBorder="1" applyAlignment="1">
      <alignment horizontal="right" vertical="center"/>
    </xf>
    <xf numFmtId="0" fontId="28" fillId="0" borderId="33" xfId="12" applyFont="1" applyBorder="1" applyAlignment="1">
      <alignment horizontal="center" vertical="center" wrapText="1"/>
    </xf>
    <xf numFmtId="0" fontId="28" fillId="0" borderId="33" xfId="12" applyFont="1" applyBorder="1" applyAlignment="1">
      <alignment vertical="center" wrapText="1"/>
    </xf>
    <xf numFmtId="0" fontId="28" fillId="0" borderId="36" xfId="12" applyFont="1" applyBorder="1" applyAlignment="1">
      <alignment vertical="center" wrapText="1"/>
    </xf>
    <xf numFmtId="0" fontId="21" fillId="0" borderId="37" xfId="12" applyBorder="1"/>
    <xf numFmtId="0" fontId="29" fillId="0" borderId="37" xfId="12" applyFont="1" applyBorder="1" applyAlignment="1">
      <alignment horizontal="right"/>
    </xf>
    <xf numFmtId="0" fontId="28" fillId="9" borderId="33" xfId="12" applyFont="1" applyFill="1" applyBorder="1" applyAlignment="1">
      <alignment vertical="center" wrapText="1"/>
    </xf>
    <xf numFmtId="0" fontId="21" fillId="9" borderId="1" xfId="12" applyFill="1" applyBorder="1"/>
    <xf numFmtId="0" fontId="28" fillId="9" borderId="1" xfId="12" applyFont="1" applyFill="1" applyBorder="1" applyAlignment="1">
      <alignment horizontal="right" vertical="center"/>
    </xf>
    <xf numFmtId="164" fontId="33" fillId="9" borderId="1" xfId="12" applyNumberFormat="1" applyFont="1" applyFill="1" applyBorder="1" applyAlignment="1">
      <alignment horizontal="right"/>
    </xf>
    <xf numFmtId="0" fontId="28" fillId="3" borderId="33" xfId="12" applyFont="1" applyFill="1" applyBorder="1" applyAlignment="1">
      <alignment vertical="center" wrapText="1"/>
    </xf>
    <xf numFmtId="0" fontId="21" fillId="3" borderId="1" xfId="12" applyFill="1" applyBorder="1"/>
    <xf numFmtId="0" fontId="27" fillId="3" borderId="1" xfId="12" applyFont="1" applyFill="1" applyBorder="1" applyAlignment="1">
      <alignment horizontal="right" vertical="center"/>
    </xf>
    <xf numFmtId="165" fontId="3" fillId="4" borderId="1" xfId="0" applyNumberFormat="1" applyFont="1" applyFill="1" applyBorder="1" applyProtection="1">
      <protection hidden="1"/>
    </xf>
    <xf numFmtId="4" fontId="3" fillId="4" borderId="1" xfId="0" applyNumberFormat="1" applyFont="1" applyFill="1" applyBorder="1" applyProtection="1">
      <protection hidden="1"/>
    </xf>
    <xf numFmtId="10" fontId="3" fillId="4" borderId="1" xfId="3" applyNumberFormat="1" applyFont="1" applyFill="1" applyBorder="1"/>
    <xf numFmtId="2" fontId="3" fillId="4" borderId="1" xfId="3" applyNumberFormat="1" applyFont="1" applyFill="1" applyBorder="1"/>
    <xf numFmtId="4" fontId="0" fillId="0" borderId="1" xfId="0" applyNumberFormat="1" applyBorder="1"/>
    <xf numFmtId="3" fontId="36" fillId="3" borderId="7" xfId="0" applyNumberFormat="1" applyFont="1" applyFill="1" applyBorder="1"/>
    <xf numFmtId="3" fontId="0" fillId="4" borderId="28" xfId="0" applyNumberFormat="1" applyFill="1" applyBorder="1" applyAlignment="1">
      <alignment horizontal="right"/>
    </xf>
    <xf numFmtId="4" fontId="25" fillId="0" borderId="12" xfId="12" applyNumberFormat="1" applyFont="1" applyBorder="1" applyAlignment="1">
      <alignment horizontal="center" vertical="center" wrapText="1"/>
    </xf>
    <xf numFmtId="3" fontId="28" fillId="0" borderId="12" xfId="12" applyNumberFormat="1" applyFont="1" applyBorder="1" applyAlignment="1">
      <alignment vertical="center" wrapText="1"/>
    </xf>
    <xf numFmtId="3" fontId="28" fillId="0" borderId="2" xfId="12" applyNumberFormat="1" applyFont="1" applyBorder="1" applyAlignment="1">
      <alignment vertical="center" wrapText="1"/>
    </xf>
    <xf numFmtId="3" fontId="34" fillId="0" borderId="2" xfId="12" applyNumberFormat="1" applyFont="1" applyBorder="1" applyAlignment="1">
      <alignment vertical="center" wrapText="1"/>
    </xf>
    <xf numFmtId="4" fontId="28" fillId="0" borderId="12" xfId="12" applyNumberFormat="1" applyFont="1" applyBorder="1" applyAlignment="1">
      <alignment vertical="center" wrapText="1"/>
    </xf>
    <xf numFmtId="3" fontId="27" fillId="0" borderId="41" xfId="12" applyNumberFormat="1" applyFont="1" applyBorder="1" applyAlignment="1">
      <alignment horizontal="right" vertical="center" wrapText="1"/>
    </xf>
    <xf numFmtId="3" fontId="27" fillId="0" borderId="2" xfId="12" applyNumberFormat="1" applyFont="1" applyBorder="1" applyAlignment="1">
      <alignment vertical="center" wrapText="1"/>
    </xf>
    <xf numFmtId="3" fontId="27" fillId="3" borderId="2" xfId="12" applyNumberFormat="1" applyFont="1" applyFill="1" applyBorder="1" applyAlignment="1">
      <alignment vertical="center" wrapText="1"/>
    </xf>
    <xf numFmtId="3" fontId="28" fillId="9" borderId="2" xfId="12" applyNumberFormat="1" applyFont="1" applyFill="1" applyBorder="1" applyAlignment="1">
      <alignment vertical="center" wrapText="1"/>
    </xf>
    <xf numFmtId="3" fontId="31" fillId="9" borderId="2" xfId="12" applyNumberFormat="1" applyFont="1" applyFill="1" applyBorder="1" applyAlignment="1">
      <alignment vertical="center" wrapText="1"/>
    </xf>
    <xf numFmtId="3" fontId="25" fillId="0" borderId="2" xfId="12" applyNumberFormat="1" applyFont="1" applyBorder="1" applyAlignment="1">
      <alignment vertical="center" wrapText="1"/>
    </xf>
    <xf numFmtId="3" fontId="25" fillId="0" borderId="45" xfId="12" applyNumberFormat="1" applyFont="1" applyBorder="1" applyAlignment="1">
      <alignment vertical="center" wrapText="1"/>
    </xf>
    <xf numFmtId="0" fontId="37" fillId="0" borderId="1" xfId="12" applyFont="1" applyBorder="1" applyAlignment="1">
      <alignment horizontal="center" wrapText="1"/>
    </xf>
    <xf numFmtId="0" fontId="38" fillId="0" borderId="1" xfId="12" applyFont="1" applyBorder="1"/>
    <xf numFmtId="0" fontId="37" fillId="0" borderId="1" xfId="12" applyFont="1" applyBorder="1"/>
    <xf numFmtId="3" fontId="37" fillId="3" borderId="1" xfId="12" applyNumberFormat="1" applyFont="1" applyFill="1" applyBorder="1" applyAlignment="1">
      <alignment vertical="center" wrapText="1"/>
    </xf>
    <xf numFmtId="3" fontId="38" fillId="9" borderId="1" xfId="12" applyNumberFormat="1" applyFont="1" applyFill="1" applyBorder="1" applyAlignment="1">
      <alignment vertical="center" wrapText="1"/>
    </xf>
    <xf numFmtId="3" fontId="37" fillId="0" borderId="1" xfId="12" applyNumberFormat="1" applyFont="1" applyBorder="1" applyAlignment="1">
      <alignment vertical="center" wrapText="1"/>
    </xf>
    <xf numFmtId="4" fontId="8" fillId="3" borderId="35" xfId="0" applyNumberFormat="1" applyFont="1" applyFill="1" applyBorder="1"/>
    <xf numFmtId="4" fontId="8" fillId="3" borderId="3" xfId="0" applyNumberFormat="1" applyFont="1" applyFill="1" applyBorder="1"/>
    <xf numFmtId="1" fontId="38" fillId="0" borderId="1" xfId="12" applyNumberFormat="1" applyFont="1" applyBorder="1"/>
    <xf numFmtId="0" fontId="3" fillId="3" borderId="22" xfId="0" applyFont="1" applyFill="1" applyBorder="1" applyAlignment="1">
      <alignment horizontal="left" wrapText="1"/>
    </xf>
    <xf numFmtId="4" fontId="3" fillId="0" borderId="21" xfId="0" applyNumberFormat="1" applyFont="1" applyBorder="1" applyAlignment="1">
      <alignment horizontal="left" wrapText="1"/>
    </xf>
    <xf numFmtId="4" fontId="3" fillId="0" borderId="22" xfId="0" applyNumberFormat="1" applyFont="1" applyBorder="1" applyAlignment="1">
      <alignment horizontal="left" wrapText="1"/>
    </xf>
    <xf numFmtId="4" fontId="3" fillId="0" borderId="31" xfId="0" applyNumberFormat="1" applyFont="1" applyBorder="1" applyAlignment="1">
      <alignment horizontal="left" wrapText="1"/>
    </xf>
    <xf numFmtId="0" fontId="3" fillId="3" borderId="9" xfId="0" applyFont="1" applyFill="1" applyBorder="1" applyAlignment="1">
      <alignment horizontal="center" wrapText="1"/>
    </xf>
    <xf numFmtId="4" fontId="0" fillId="0" borderId="0" xfId="0" applyNumberFormat="1" applyFill="1" applyBorder="1"/>
    <xf numFmtId="2" fontId="0" fillId="0" borderId="1" xfId="0" applyNumberFormat="1" applyBorder="1"/>
    <xf numFmtId="0" fontId="41" fillId="0" borderId="0" xfId="0" applyFont="1"/>
    <xf numFmtId="4" fontId="41" fillId="0" borderId="0" xfId="0" applyNumberFormat="1" applyFont="1" applyFill="1" applyBorder="1"/>
    <xf numFmtId="0" fontId="42" fillId="0" borderId="2" xfId="12" applyFont="1" applyBorder="1" applyAlignment="1">
      <alignment vertical="center" wrapText="1"/>
    </xf>
    <xf numFmtId="2" fontId="42" fillId="0" borderId="34" xfId="12" applyNumberFormat="1" applyFont="1" applyBorder="1" applyAlignment="1">
      <alignment vertical="center" wrapText="1"/>
    </xf>
    <xf numFmtId="3" fontId="42" fillId="0" borderId="2" xfId="12" applyNumberFormat="1" applyFont="1" applyBorder="1" applyAlignment="1">
      <alignment vertical="center" wrapText="1"/>
    </xf>
    <xf numFmtId="0" fontId="43" fillId="0" borderId="1" xfId="12" applyFont="1" applyBorder="1"/>
    <xf numFmtId="0" fontId="44" fillId="0" borderId="1" xfId="12" applyFont="1" applyBorder="1"/>
    <xf numFmtId="2" fontId="42" fillId="0" borderId="2" xfId="12" applyNumberFormat="1" applyFont="1" applyBorder="1" applyAlignment="1">
      <alignment horizontal="right" vertical="center" wrapText="1"/>
    </xf>
    <xf numFmtId="0" fontId="38" fillId="0" borderId="1" xfId="12" applyFon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4" borderId="4" xfId="0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 applyAlignment="1" applyProtection="1">
      <alignment horizontal="left" wrapText="1"/>
      <protection hidden="1"/>
    </xf>
    <xf numFmtId="0" fontId="3" fillId="0" borderId="0" xfId="0" applyFont="1" applyFill="1" applyBorder="1" applyAlignment="1" applyProtection="1">
      <alignment horizontal="left" wrapText="1"/>
      <protection hidden="1"/>
    </xf>
    <xf numFmtId="1" fontId="37" fillId="0" borderId="1" xfId="12" applyNumberFormat="1" applyFont="1" applyBorder="1"/>
    <xf numFmtId="0" fontId="3" fillId="10" borderId="1" xfId="0" applyFont="1" applyFill="1" applyBorder="1" applyAlignment="1" applyProtection="1">
      <alignment horizontal="left"/>
      <protection hidden="1"/>
    </xf>
    <xf numFmtId="0" fontId="1" fillId="0" borderId="1" xfId="0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10" fontId="1" fillId="0" borderId="1" xfId="0" applyNumberFormat="1" applyFont="1" applyBorder="1" applyProtection="1">
      <protection hidden="1"/>
    </xf>
    <xf numFmtId="0" fontId="45" fillId="0" borderId="0" xfId="0" applyFont="1"/>
    <xf numFmtId="0" fontId="3" fillId="0" borderId="1" xfId="0" applyFont="1" applyBorder="1" applyProtection="1">
      <protection hidden="1"/>
    </xf>
    <xf numFmtId="165" fontId="3" fillId="0" borderId="1" xfId="0" applyNumberFormat="1" applyFont="1" applyBorder="1" applyProtection="1">
      <protection hidden="1"/>
    </xf>
    <xf numFmtId="10" fontId="3" fillId="0" borderId="1" xfId="0" applyNumberFormat="1" applyFont="1" applyBorder="1" applyProtection="1">
      <protection hidden="1"/>
    </xf>
    <xf numFmtId="9" fontId="0" fillId="0" borderId="1" xfId="3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165" fontId="1" fillId="11" borderId="1" xfId="0" applyNumberFormat="1" applyFont="1" applyFill="1" applyBorder="1" applyProtection="1">
      <protection hidden="1"/>
    </xf>
    <xf numFmtId="165" fontId="3" fillId="11" borderId="1" xfId="0" applyNumberFormat="1" applyFont="1" applyFill="1" applyBorder="1"/>
    <xf numFmtId="9" fontId="3" fillId="0" borderId="1" xfId="3" applyFont="1" applyBorder="1"/>
    <xf numFmtId="165" fontId="0" fillId="11" borderId="1" xfId="0" applyNumberFormat="1" applyFill="1" applyBorder="1"/>
    <xf numFmtId="169" fontId="3" fillId="0" borderId="1" xfId="0" applyNumberFormat="1" applyFont="1" applyBorder="1"/>
    <xf numFmtId="0" fontId="40" fillId="0" borderId="0" xfId="0" applyFont="1" applyFill="1" applyBorder="1"/>
    <xf numFmtId="0" fontId="41" fillId="0" borderId="0" xfId="0" applyFont="1" applyFill="1" applyBorder="1"/>
    <xf numFmtId="4" fontId="35" fillId="0" borderId="0" xfId="0" applyNumberFormat="1" applyFont="1" applyFill="1" applyBorder="1"/>
    <xf numFmtId="2" fontId="41" fillId="0" borderId="0" xfId="0" applyNumberFormat="1" applyFont="1" applyFill="1" applyBorder="1"/>
    <xf numFmtId="4" fontId="40" fillId="0" borderId="0" xfId="0" applyNumberFormat="1" applyFont="1" applyFill="1" applyBorder="1"/>
    <xf numFmtId="0" fontId="41" fillId="0" borderId="0" xfId="0" applyFont="1" applyFill="1" applyBorder="1" applyAlignment="1"/>
    <xf numFmtId="165" fontId="41" fillId="0" borderId="0" xfId="0" applyNumberFormat="1" applyFont="1" applyFill="1" applyBorder="1" applyProtection="1">
      <protection hidden="1"/>
    </xf>
    <xf numFmtId="10" fontId="41" fillId="0" borderId="0" xfId="3" applyNumberFormat="1" applyFont="1" applyFill="1" applyBorder="1"/>
    <xf numFmtId="165" fontId="41" fillId="0" borderId="0" xfId="0" applyNumberFormat="1" applyFont="1" applyFill="1" applyBorder="1"/>
    <xf numFmtId="9" fontId="41" fillId="0" borderId="0" xfId="3" applyFont="1" applyFill="1" applyBorder="1"/>
    <xf numFmtId="0" fontId="3" fillId="0" borderId="0" xfId="0" applyFont="1" applyFill="1" applyBorder="1" applyAlignment="1">
      <alignment horizontal="center"/>
    </xf>
    <xf numFmtId="0" fontId="35" fillId="0" borderId="0" xfId="0" applyFont="1" applyFill="1" applyBorder="1"/>
    <xf numFmtId="2" fontId="39" fillId="0" borderId="0" xfId="0" applyNumberFormat="1" applyFont="1" applyFill="1" applyBorder="1"/>
    <xf numFmtId="49" fontId="0" fillId="0" borderId="0" xfId="0" applyNumberFormat="1" applyFill="1" applyBorder="1" applyAlignment="1">
      <alignment horizontal="center"/>
    </xf>
    <xf numFmtId="4" fontId="3" fillId="0" borderId="0" xfId="0" applyNumberFormat="1" applyFont="1" applyFill="1" applyBorder="1"/>
    <xf numFmtId="1" fontId="0" fillId="0" borderId="1" xfId="0" applyNumberFormat="1" applyBorder="1"/>
    <xf numFmtId="0" fontId="0" fillId="0" borderId="43" xfId="0" applyBorder="1"/>
    <xf numFmtId="0" fontId="0" fillId="0" borderId="44" xfId="0" applyBorder="1"/>
    <xf numFmtId="0" fontId="0" fillId="0" borderId="46" xfId="0" applyBorder="1"/>
    <xf numFmtId="2" fontId="0" fillId="0" borderId="47" xfId="0" applyNumberFormat="1" applyBorder="1"/>
    <xf numFmtId="1" fontId="0" fillId="0" borderId="47" xfId="0" applyNumberFormat="1" applyBorder="1"/>
    <xf numFmtId="0" fontId="0" fillId="0" borderId="36" xfId="0" applyBorder="1"/>
    <xf numFmtId="0" fontId="0" fillId="0" borderId="37" xfId="0" applyBorder="1"/>
    <xf numFmtId="2" fontId="0" fillId="0" borderId="48" xfId="0" applyNumberFormat="1" applyBorder="1"/>
    <xf numFmtId="4" fontId="0" fillId="0" borderId="47" xfId="0" applyNumberFormat="1" applyBorder="1"/>
    <xf numFmtId="4" fontId="0" fillId="0" borderId="37" xfId="0" applyNumberFormat="1" applyBorder="1"/>
    <xf numFmtId="4" fontId="0" fillId="0" borderId="48" xfId="0" applyNumberFormat="1" applyBorder="1"/>
    <xf numFmtId="0" fontId="1" fillId="0" borderId="0" xfId="0" applyFont="1" applyFill="1" applyProtection="1">
      <protection hidden="1"/>
    </xf>
    <xf numFmtId="4" fontId="3" fillId="0" borderId="0" xfId="0" applyNumberFormat="1" applyFont="1" applyFill="1"/>
    <xf numFmtId="0" fontId="24" fillId="0" borderId="0" xfId="12" applyFont="1" applyAlignment="1">
      <alignment horizontal="center" vertical="center"/>
    </xf>
    <xf numFmtId="0" fontId="27" fillId="0" borderId="2" xfId="12" applyFont="1" applyBorder="1" applyAlignment="1">
      <alignment horizontal="left" vertical="center" wrapText="1"/>
    </xf>
    <xf numFmtId="0" fontId="27" fillId="0" borderId="12" xfId="12" applyFont="1" applyBorder="1" applyAlignment="1">
      <alignment horizontal="left" vertical="center" wrapText="1"/>
    </xf>
    <xf numFmtId="2" fontId="27" fillId="0" borderId="2" xfId="12" applyNumberFormat="1" applyFont="1" applyBorder="1" applyAlignment="1">
      <alignment horizontal="left" vertical="center" wrapText="1"/>
    </xf>
    <xf numFmtId="2" fontId="27" fillId="0" borderId="12" xfId="12" applyNumberFormat="1" applyFont="1" applyBorder="1" applyAlignment="1">
      <alignment horizontal="left" vertical="center" wrapText="1"/>
    </xf>
    <xf numFmtId="0" fontId="28" fillId="0" borderId="5" xfId="12" applyFont="1" applyBorder="1" applyAlignment="1">
      <alignment horizontal="center" vertical="center" wrapText="1"/>
    </xf>
    <xf numFmtId="0" fontId="28" fillId="0" borderId="16" xfId="12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 applyFill="1" applyBorder="1" applyAlignment="1">
      <alignment horizontal="center"/>
    </xf>
    <xf numFmtId="4" fontId="0" fillId="0" borderId="41" xfId="2" applyNumberFormat="1" applyFont="1" applyBorder="1" applyAlignment="1">
      <alignment horizontal="center"/>
    </xf>
    <xf numFmtId="4" fontId="0" fillId="0" borderId="42" xfId="2" applyNumberFormat="1" applyFont="1" applyBorder="1" applyAlignment="1">
      <alignment horizontal="center"/>
    </xf>
    <xf numFmtId="4" fontId="0" fillId="0" borderId="2" xfId="2" applyNumberFormat="1" applyFont="1" applyBorder="1" applyAlignment="1">
      <alignment horizontal="center"/>
    </xf>
    <xf numFmtId="4" fontId="0" fillId="0" borderId="12" xfId="2" applyNumberFormat="1" applyFont="1" applyBorder="1" applyAlignment="1">
      <alignment horizontal="center"/>
    </xf>
  </cellXfs>
  <cellStyles count="17">
    <cellStyle name="Comma 2" xfId="6" xr:uid="{6440ACF4-7DDF-45E9-AC89-3D02DE0DA8B7}"/>
    <cellStyle name="Comma 3" xfId="14" xr:uid="{EC929FB0-958B-4C7A-AB9B-1F0FF6451F83}"/>
    <cellStyle name="Comma 4" xfId="16" xr:uid="{8DD72D03-14F4-480B-BCE6-F1986BC3C591}"/>
    <cellStyle name="Currency" xfId="2" builtinId="4"/>
    <cellStyle name="Normaallaad 2" xfId="1" xr:uid="{00000000-0005-0000-0000-000001000000}"/>
    <cellStyle name="Normaallaad 3" xfId="15" xr:uid="{461DE180-CBBE-4A6A-A1CF-FDB1F8B3CF98}"/>
    <cellStyle name="Normaallaad 4 2" xfId="13" xr:uid="{47851956-5CBA-41FA-9BFD-4F766791FE62}"/>
    <cellStyle name="Normaallaad 67" xfId="4" xr:uid="{6A7CF9AE-CF13-409B-B5C8-86D4BB95CB47}"/>
    <cellStyle name="Normal" xfId="0" builtinId="0"/>
    <cellStyle name="Normal 2" xfId="5" xr:uid="{6D7C0F9F-0260-418C-9B31-7074D4C862C9}"/>
    <cellStyle name="Normal 2 2" xfId="10" xr:uid="{1CBC2FC3-F192-4384-BD05-02128BBBD221}"/>
    <cellStyle name="Normal 2 3" xfId="11" xr:uid="{574452CB-1535-4554-BBFF-3B79832160FE}"/>
    <cellStyle name="Normal 3" xfId="8" xr:uid="{89881D02-9454-4637-91AB-BF96F3C88D4E}"/>
    <cellStyle name="Normal 4" xfId="9" xr:uid="{47827E61-B4AF-4CFD-A1C3-6A5066DBCBB0}"/>
    <cellStyle name="Normal 5" xfId="12" xr:uid="{269E5A38-94B0-4197-A1C9-D79ECE2B70E2}"/>
    <cellStyle name="Percent" xfId="3" builtinId="5"/>
    <cellStyle name="Percent 2" xfId="7" xr:uid="{92937902-7905-43C5-B644-ED508DB6B230}"/>
  </cellStyles>
  <dxfs count="4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9" defaultPivotStyle="PivotStyleLight16"/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A1:F74"/>
  <sheetViews>
    <sheetView zoomScale="90" zoomScaleNormal="90" workbookViewId="0">
      <selection activeCell="F15" sqref="F15"/>
    </sheetView>
  </sheetViews>
  <sheetFormatPr defaultColWidth="9.140625" defaultRowHeight="12" x14ac:dyDescent="0.2"/>
  <cols>
    <col min="1" max="1" width="3.7109375" style="86" customWidth="1"/>
    <col min="2" max="2" width="6.28515625" style="86" customWidth="1"/>
    <col min="3" max="3" width="71.140625" style="86" customWidth="1"/>
    <col min="4" max="4" width="5.42578125" style="86" customWidth="1"/>
    <col min="5" max="5" width="15.5703125" style="160" customWidth="1"/>
    <col min="6" max="6" width="13.42578125" style="86" customWidth="1"/>
    <col min="7" max="16384" width="9.140625" style="86"/>
  </cols>
  <sheetData>
    <row r="1" spans="2:6" ht="15" x14ac:dyDescent="0.25">
      <c r="E1" s="158" t="s">
        <v>20</v>
      </c>
    </row>
    <row r="2" spans="2:6" ht="15" x14ac:dyDescent="0.25">
      <c r="E2" s="159" t="s">
        <v>100</v>
      </c>
    </row>
    <row r="4" spans="2:6" ht="12" customHeight="1" x14ac:dyDescent="0.2">
      <c r="B4" s="303" t="s">
        <v>105</v>
      </c>
      <c r="C4" s="303"/>
      <c r="D4" s="303"/>
      <c r="E4" s="303"/>
    </row>
    <row r="7" spans="2:6" ht="15" x14ac:dyDescent="0.25">
      <c r="B7" s="87"/>
      <c r="C7" s="88"/>
      <c r="D7" s="88"/>
    </row>
    <row r="8" spans="2:6" ht="42.75" x14ac:dyDescent="0.2">
      <c r="B8" s="89" t="s">
        <v>21</v>
      </c>
      <c r="C8" s="89" t="s">
        <v>22</v>
      </c>
      <c r="D8" s="90"/>
      <c r="E8" s="210" t="s">
        <v>23</v>
      </c>
      <c r="F8" s="222" t="s">
        <v>114</v>
      </c>
    </row>
    <row r="9" spans="2:6" ht="15" x14ac:dyDescent="0.25">
      <c r="B9" s="89">
        <v>1</v>
      </c>
      <c r="C9" s="304" t="s">
        <v>24</v>
      </c>
      <c r="D9" s="305"/>
      <c r="E9" s="305"/>
      <c r="F9" s="223"/>
    </row>
    <row r="10" spans="2:6" ht="15" x14ac:dyDescent="0.25">
      <c r="B10" s="91" t="s">
        <v>25</v>
      </c>
      <c r="C10" s="92" t="s">
        <v>26</v>
      </c>
      <c r="D10" s="93"/>
      <c r="E10" s="211">
        <v>172755</v>
      </c>
      <c r="F10" s="223">
        <v>183455</v>
      </c>
    </row>
    <row r="11" spans="2:6" ht="15" x14ac:dyDescent="0.25">
      <c r="B11" s="94">
        <v>2</v>
      </c>
      <c r="C11" s="306" t="s">
        <v>12</v>
      </c>
      <c r="D11" s="307"/>
      <c r="E11" s="307"/>
      <c r="F11" s="223"/>
    </row>
    <row r="12" spans="2:6" ht="15" x14ac:dyDescent="0.25">
      <c r="B12" s="91" t="s">
        <v>27</v>
      </c>
      <c r="C12" s="95" t="s">
        <v>28</v>
      </c>
      <c r="D12" s="96"/>
      <c r="E12" s="211">
        <v>90000</v>
      </c>
      <c r="F12" s="223">
        <v>170000</v>
      </c>
    </row>
    <row r="13" spans="2:6" ht="15" x14ac:dyDescent="0.25">
      <c r="B13" s="91" t="s">
        <v>29</v>
      </c>
      <c r="C13" s="92" t="s">
        <v>30</v>
      </c>
      <c r="D13" s="93"/>
      <c r="E13" s="212">
        <v>221960</v>
      </c>
      <c r="F13" s="223">
        <v>235336</v>
      </c>
    </row>
    <row r="14" spans="2:6" ht="12.75" x14ac:dyDescent="0.2">
      <c r="B14" s="240" t="s">
        <v>121</v>
      </c>
      <c r="C14" s="245" t="s">
        <v>124</v>
      </c>
      <c r="D14" s="241"/>
      <c r="E14" s="242">
        <f>E13-E15</f>
        <v>121960</v>
      </c>
      <c r="F14" s="244">
        <f>F13-F15</f>
        <v>107336</v>
      </c>
    </row>
    <row r="15" spans="2:6" ht="12.75" x14ac:dyDescent="0.2">
      <c r="B15" s="240" t="s">
        <v>123</v>
      </c>
      <c r="C15" s="245" t="s">
        <v>122</v>
      </c>
      <c r="D15" s="241"/>
      <c r="E15" s="242">
        <v>100000</v>
      </c>
      <c r="F15" s="243">
        <v>128000</v>
      </c>
    </row>
    <row r="16" spans="2:6" ht="15" x14ac:dyDescent="0.25">
      <c r="B16" s="91" t="s">
        <v>31</v>
      </c>
      <c r="C16" s="92" t="s">
        <v>32</v>
      </c>
      <c r="D16" s="93"/>
      <c r="E16" s="212">
        <v>43554</v>
      </c>
      <c r="F16" s="223">
        <v>82325</v>
      </c>
    </row>
    <row r="17" spans="2:6" ht="15" x14ac:dyDescent="0.25">
      <c r="B17" s="97" t="s">
        <v>33</v>
      </c>
      <c r="C17" s="98" t="s">
        <v>34</v>
      </c>
      <c r="D17" s="99"/>
      <c r="E17" s="213">
        <v>103139</v>
      </c>
      <c r="F17" s="223">
        <v>141886</v>
      </c>
    </row>
    <row r="18" spans="2:6" ht="15" x14ac:dyDescent="0.25">
      <c r="B18" s="91" t="s">
        <v>35</v>
      </c>
      <c r="C18" s="92" t="s">
        <v>36</v>
      </c>
      <c r="D18" s="93"/>
      <c r="E18" s="212">
        <v>245477</v>
      </c>
      <c r="F18" s="223">
        <v>238869</v>
      </c>
    </row>
    <row r="19" spans="2:6" ht="15" x14ac:dyDescent="0.25">
      <c r="B19" s="91" t="s">
        <v>37</v>
      </c>
      <c r="C19" s="92" t="s">
        <v>38</v>
      </c>
      <c r="D19" s="93"/>
      <c r="E19" s="212">
        <v>78480</v>
      </c>
      <c r="F19" s="223">
        <v>139456</v>
      </c>
    </row>
    <row r="20" spans="2:6" ht="15" x14ac:dyDescent="0.25">
      <c r="B20" s="91" t="s">
        <v>39</v>
      </c>
      <c r="C20" s="100" t="s">
        <v>40</v>
      </c>
      <c r="D20" s="99"/>
      <c r="E20" s="211">
        <v>78460</v>
      </c>
      <c r="F20" s="223">
        <v>72850</v>
      </c>
    </row>
    <row r="21" spans="2:6" ht="15" x14ac:dyDescent="0.25">
      <c r="B21" s="91" t="s">
        <v>41</v>
      </c>
      <c r="C21" s="92" t="s">
        <v>42</v>
      </c>
      <c r="D21" s="93"/>
      <c r="E21" s="211">
        <v>103260</v>
      </c>
      <c r="F21" s="223">
        <v>57271</v>
      </c>
    </row>
    <row r="22" spans="2:6" ht="15" x14ac:dyDescent="0.25">
      <c r="B22" s="91" t="s">
        <v>43</v>
      </c>
      <c r="C22" s="92" t="s">
        <v>44</v>
      </c>
      <c r="D22" s="93"/>
      <c r="E22" s="211">
        <v>103977</v>
      </c>
      <c r="F22" s="223">
        <v>131397</v>
      </c>
    </row>
    <row r="23" spans="2:6" ht="15" x14ac:dyDescent="0.25">
      <c r="B23" s="91" t="s">
        <v>45</v>
      </c>
      <c r="C23" s="92" t="s">
        <v>46</v>
      </c>
      <c r="D23" s="93"/>
      <c r="E23" s="211">
        <v>78490</v>
      </c>
      <c r="F23" s="223">
        <v>81175</v>
      </c>
    </row>
    <row r="24" spans="2:6" ht="15" x14ac:dyDescent="0.25">
      <c r="B24" s="94">
        <v>3</v>
      </c>
      <c r="C24" s="101" t="s">
        <v>47</v>
      </c>
      <c r="D24" s="99"/>
      <c r="E24" s="211"/>
      <c r="F24" s="223"/>
    </row>
    <row r="25" spans="2:6" ht="15" x14ac:dyDescent="0.25">
      <c r="B25" s="102" t="s">
        <v>48</v>
      </c>
      <c r="C25" s="92" t="s">
        <v>49</v>
      </c>
      <c r="D25" s="93"/>
      <c r="E25" s="211">
        <v>357264</v>
      </c>
      <c r="F25" s="223">
        <v>347518</v>
      </c>
    </row>
    <row r="26" spans="2:6" ht="15" x14ac:dyDescent="0.25">
      <c r="B26" s="91" t="s">
        <v>50</v>
      </c>
      <c r="C26" s="100" t="s">
        <v>51</v>
      </c>
      <c r="D26" s="99"/>
      <c r="E26" s="211">
        <v>138968</v>
      </c>
      <c r="F26" s="223">
        <v>39246</v>
      </c>
    </row>
    <row r="27" spans="2:6" ht="15" x14ac:dyDescent="0.25">
      <c r="B27" s="91" t="s">
        <v>52</v>
      </c>
      <c r="C27" s="92" t="s">
        <v>53</v>
      </c>
      <c r="D27" s="93"/>
      <c r="E27" s="211">
        <v>332804</v>
      </c>
      <c r="F27" s="223">
        <v>227226</v>
      </c>
    </row>
    <row r="28" spans="2:6" ht="15" x14ac:dyDescent="0.25">
      <c r="B28" s="91" t="s">
        <v>54</v>
      </c>
      <c r="C28" s="92" t="s">
        <v>55</v>
      </c>
      <c r="D28" s="93"/>
      <c r="E28" s="211">
        <v>197272</v>
      </c>
      <c r="F28" s="223">
        <v>269175</v>
      </c>
    </row>
    <row r="29" spans="2:6" ht="15" x14ac:dyDescent="0.25">
      <c r="B29" s="94">
        <v>4</v>
      </c>
      <c r="C29" s="103" t="s">
        <v>56</v>
      </c>
      <c r="D29" s="93"/>
      <c r="E29" s="214"/>
      <c r="F29" s="223"/>
    </row>
    <row r="30" spans="2:6" ht="45" x14ac:dyDescent="0.2">
      <c r="B30" s="91" t="s">
        <v>57</v>
      </c>
      <c r="C30" s="92" t="s">
        <v>58</v>
      </c>
      <c r="D30" s="93"/>
      <c r="E30" s="211">
        <f>285345+23000-31160</f>
        <v>277185</v>
      </c>
      <c r="F30" s="246">
        <v>58037</v>
      </c>
    </row>
    <row r="31" spans="2:6" ht="15" x14ac:dyDescent="0.25">
      <c r="B31" s="94">
        <v>5</v>
      </c>
      <c r="C31" s="306" t="s">
        <v>59</v>
      </c>
      <c r="D31" s="307"/>
      <c r="E31" s="307"/>
      <c r="F31" s="223"/>
    </row>
    <row r="32" spans="2:6" ht="15" x14ac:dyDescent="0.25">
      <c r="B32" s="91" t="s">
        <v>60</v>
      </c>
      <c r="C32" s="92" t="s">
        <v>61</v>
      </c>
      <c r="D32" s="93"/>
      <c r="E32" s="211">
        <v>9710</v>
      </c>
      <c r="F32" s="223">
        <v>24350</v>
      </c>
    </row>
    <row r="33" spans="2:6" ht="15" x14ac:dyDescent="0.25">
      <c r="B33" s="91" t="s">
        <v>62</v>
      </c>
      <c r="C33" s="92" t="s">
        <v>63</v>
      </c>
      <c r="D33" s="93"/>
      <c r="E33" s="211">
        <v>2000</v>
      </c>
      <c r="F33" s="223">
        <v>3960</v>
      </c>
    </row>
    <row r="34" spans="2:6" ht="15" x14ac:dyDescent="0.25">
      <c r="B34" s="91" t="s">
        <v>64</v>
      </c>
      <c r="C34" s="92" t="s">
        <v>65</v>
      </c>
      <c r="D34" s="93"/>
      <c r="E34" s="211">
        <v>19306</v>
      </c>
      <c r="F34" s="223">
        <v>60900</v>
      </c>
    </row>
    <row r="35" spans="2:6" ht="15" x14ac:dyDescent="0.25">
      <c r="B35" s="91" t="s">
        <v>66</v>
      </c>
      <c r="C35" s="92" t="s">
        <v>67</v>
      </c>
      <c r="D35" s="93"/>
      <c r="E35" s="211">
        <v>169694</v>
      </c>
      <c r="F35" s="230">
        <v>177471.27</v>
      </c>
    </row>
    <row r="36" spans="2:6" ht="15.75" thickBot="1" x14ac:dyDescent="0.3">
      <c r="B36" s="308"/>
      <c r="C36" s="309"/>
      <c r="D36" s="309"/>
      <c r="E36" s="309"/>
      <c r="F36" s="223"/>
    </row>
    <row r="37" spans="2:6" ht="15" x14ac:dyDescent="0.2">
      <c r="B37" s="188"/>
      <c r="C37" s="189"/>
      <c r="D37" s="190" t="s">
        <v>75</v>
      </c>
      <c r="E37" s="215">
        <f>SUM(E38:E42)</f>
        <v>238793</v>
      </c>
      <c r="F37" s="224">
        <f>SUM(F38:F42)</f>
        <v>163259</v>
      </c>
    </row>
    <row r="38" spans="2:6" ht="15" x14ac:dyDescent="0.25">
      <c r="B38" s="191"/>
      <c r="C38" s="155"/>
      <c r="D38" s="147" t="s">
        <v>77</v>
      </c>
      <c r="E38" s="212">
        <v>56000</v>
      </c>
      <c r="F38" s="223">
        <v>30089</v>
      </c>
    </row>
    <row r="39" spans="2:6" ht="15" x14ac:dyDescent="0.25">
      <c r="B39" s="191"/>
      <c r="C39" s="104"/>
      <c r="D39" s="156" t="s">
        <v>78</v>
      </c>
      <c r="E39" s="212">
        <v>11400</v>
      </c>
      <c r="F39" s="223">
        <v>14888</v>
      </c>
    </row>
    <row r="40" spans="2:6" ht="15" x14ac:dyDescent="0.25">
      <c r="B40" s="191"/>
      <c r="C40" s="104"/>
      <c r="D40" s="156" t="s">
        <v>115</v>
      </c>
      <c r="E40" s="212">
        <v>23000</v>
      </c>
      <c r="F40" s="223">
        <v>37214</v>
      </c>
    </row>
    <row r="41" spans="2:6" ht="15" x14ac:dyDescent="0.25">
      <c r="B41" s="191"/>
      <c r="C41" s="104"/>
      <c r="D41" s="156" t="s">
        <v>79</v>
      </c>
      <c r="E41" s="212">
        <v>30410</v>
      </c>
      <c r="F41" s="223">
        <v>15978</v>
      </c>
    </row>
    <row r="42" spans="2:6" ht="15" x14ac:dyDescent="0.25">
      <c r="B42" s="191"/>
      <c r="C42" s="104"/>
      <c r="D42" s="156" t="s">
        <v>80</v>
      </c>
      <c r="E42" s="212">
        <v>117983</v>
      </c>
      <c r="F42" s="223">
        <v>65090</v>
      </c>
    </row>
    <row r="43" spans="2:6" ht="15" x14ac:dyDescent="0.2">
      <c r="B43" s="191"/>
      <c r="C43" s="104"/>
      <c r="D43" s="105" t="s">
        <v>76</v>
      </c>
      <c r="E43" s="216">
        <f>E10</f>
        <v>172755</v>
      </c>
      <c r="F43" s="224">
        <f>F10</f>
        <v>183455</v>
      </c>
    </row>
    <row r="44" spans="2:6" ht="15" x14ac:dyDescent="0.2">
      <c r="B44" s="191"/>
      <c r="C44" s="155"/>
      <c r="D44" s="146" t="s">
        <v>81</v>
      </c>
      <c r="E44" s="216">
        <f>E34+E35</f>
        <v>189000</v>
      </c>
      <c r="F44" s="257">
        <f>F34+F35</f>
        <v>238371.27</v>
      </c>
    </row>
    <row r="45" spans="2:6" ht="15" x14ac:dyDescent="0.2">
      <c r="B45" s="191"/>
      <c r="C45" s="155"/>
      <c r="D45" s="146" t="s">
        <v>88</v>
      </c>
      <c r="E45" s="216">
        <v>31160</v>
      </c>
      <c r="F45" s="224">
        <v>32200</v>
      </c>
    </row>
    <row r="46" spans="2:6" ht="15" x14ac:dyDescent="0.25">
      <c r="B46" s="192"/>
      <c r="C46" s="104"/>
      <c r="D46" s="146" t="s">
        <v>82</v>
      </c>
      <c r="E46" s="216">
        <f>SUM(E12:E33)-E14-E15</f>
        <v>2462000</v>
      </c>
      <c r="F46" s="223">
        <f>SUM(F12:F33)-F14-F15</f>
        <v>2320077</v>
      </c>
    </row>
    <row r="47" spans="2:6" ht="15" x14ac:dyDescent="0.25">
      <c r="B47" s="192"/>
      <c r="C47" s="104"/>
      <c r="D47" s="105" t="s">
        <v>83</v>
      </c>
      <c r="E47" s="216">
        <v>200428</v>
      </c>
      <c r="F47" s="223">
        <v>0</v>
      </c>
    </row>
    <row r="48" spans="2:6" ht="15" customHeight="1" x14ac:dyDescent="0.2">
      <c r="B48" s="200"/>
      <c r="C48" s="201"/>
      <c r="D48" s="202" t="s">
        <v>84</v>
      </c>
      <c r="E48" s="217">
        <f>SUM(E37+E43+E44+E46+E47+E45)</f>
        <v>3294136</v>
      </c>
      <c r="F48" s="225">
        <f>SUM(F37+F43+F44+F46+F47+F45)</f>
        <v>2937362.27</v>
      </c>
    </row>
    <row r="49" spans="1:6" ht="15" customHeight="1" x14ac:dyDescent="0.2">
      <c r="B49" s="196"/>
      <c r="C49" s="197"/>
      <c r="D49" s="198" t="s">
        <v>68</v>
      </c>
      <c r="E49" s="218">
        <f>E48*2.5%</f>
        <v>82353.400000000009</v>
      </c>
      <c r="F49" s="226">
        <f>F48*2.5%</f>
        <v>73434.056750000003</v>
      </c>
    </row>
    <row r="50" spans="1:6" ht="15" customHeight="1" x14ac:dyDescent="0.25">
      <c r="B50" s="196"/>
      <c r="C50" s="197"/>
      <c r="D50" s="198" t="s">
        <v>71</v>
      </c>
      <c r="E50" s="218">
        <v>115503.22750733201</v>
      </c>
      <c r="F50" s="230">
        <v>93718.069101913134</v>
      </c>
    </row>
    <row r="51" spans="1:6" ht="15" customHeight="1" x14ac:dyDescent="0.2">
      <c r="B51" s="200"/>
      <c r="C51" s="201"/>
      <c r="D51" s="202" t="s">
        <v>85</v>
      </c>
      <c r="E51" s="217">
        <f>E48+E49+E50</f>
        <v>3491992.6275073318</v>
      </c>
      <c r="F51" s="225">
        <f>F48+F49+F50</f>
        <v>3104514.3958519129</v>
      </c>
    </row>
    <row r="52" spans="1:6" ht="15" customHeight="1" x14ac:dyDescent="0.25">
      <c r="B52" s="196"/>
      <c r="C52" s="197"/>
      <c r="D52" s="199" t="s">
        <v>98</v>
      </c>
      <c r="E52" s="219">
        <v>804210</v>
      </c>
      <c r="F52" s="223">
        <v>804210</v>
      </c>
    </row>
    <row r="53" spans="1:6" ht="15" customHeight="1" x14ac:dyDescent="0.2">
      <c r="B53" s="200"/>
      <c r="C53" s="201"/>
      <c r="D53" s="202" t="s">
        <v>86</v>
      </c>
      <c r="E53" s="217">
        <f>E51-E52</f>
        <v>2687782.6275073318</v>
      </c>
      <c r="F53" s="225">
        <f>F51-F52</f>
        <v>2300304.3958519129</v>
      </c>
    </row>
    <row r="54" spans="1:6" ht="15" customHeight="1" x14ac:dyDescent="0.25">
      <c r="B54" s="192"/>
      <c r="C54" s="104"/>
      <c r="D54" s="157" t="s">
        <v>87</v>
      </c>
      <c r="E54" s="220">
        <f>E51*20%</f>
        <v>698398.52550146636</v>
      </c>
      <c r="F54" s="227">
        <f>F51*20%</f>
        <v>620902.87917038263</v>
      </c>
    </row>
    <row r="55" spans="1:6" ht="15" customHeight="1" thickBot="1" x14ac:dyDescent="0.25">
      <c r="B55" s="193"/>
      <c r="C55" s="194"/>
      <c r="D55" s="195" t="s">
        <v>72</v>
      </c>
      <c r="E55" s="221">
        <f>E53+E54</f>
        <v>3386181.1530087981</v>
      </c>
      <c r="F55" s="227">
        <f>F53+F54</f>
        <v>2921207.2750222953</v>
      </c>
    </row>
    <row r="56" spans="1:6" ht="15" customHeight="1" x14ac:dyDescent="0.2">
      <c r="A56" s="148"/>
      <c r="B56" s="149"/>
      <c r="C56" s="148"/>
      <c r="D56" s="148"/>
      <c r="E56" s="153"/>
      <c r="F56" s="148"/>
    </row>
    <row r="57" spans="1:6" ht="15" x14ac:dyDescent="0.25">
      <c r="A57" s="148"/>
      <c r="B57" s="149"/>
      <c r="C57" s="150"/>
      <c r="D57" s="151"/>
      <c r="E57" s="152"/>
      <c r="F57" s="148"/>
    </row>
    <row r="58" spans="1:6" ht="15" x14ac:dyDescent="0.25">
      <c r="A58" s="148"/>
      <c r="B58" s="149"/>
      <c r="C58" s="150"/>
      <c r="D58" s="151"/>
      <c r="E58" s="152"/>
      <c r="F58" s="153"/>
    </row>
    <row r="59" spans="1:6" ht="15" x14ac:dyDescent="0.25">
      <c r="A59" s="148"/>
      <c r="B59" s="149"/>
      <c r="C59" s="150"/>
      <c r="D59" s="151"/>
      <c r="E59" s="152"/>
      <c r="F59" s="148"/>
    </row>
    <row r="60" spans="1:6" ht="15" x14ac:dyDescent="0.25">
      <c r="A60" s="148"/>
      <c r="B60" s="149"/>
      <c r="C60" s="150"/>
      <c r="D60" s="151"/>
      <c r="E60" s="152"/>
      <c r="F60" s="148"/>
    </row>
    <row r="61" spans="1:6" ht="15" x14ac:dyDescent="0.25">
      <c r="A61" s="148"/>
      <c r="B61" s="149"/>
      <c r="C61" s="154"/>
      <c r="D61" s="148"/>
      <c r="E61" s="153"/>
      <c r="F61" s="148"/>
    </row>
    <row r="62" spans="1:6" ht="15" x14ac:dyDescent="0.25">
      <c r="A62" s="148"/>
      <c r="B62" s="149"/>
      <c r="C62" s="150"/>
      <c r="D62" s="148"/>
      <c r="E62" s="153"/>
      <c r="F62" s="148"/>
    </row>
    <row r="63" spans="1:6" x14ac:dyDescent="0.2">
      <c r="A63" s="148"/>
      <c r="B63" s="148"/>
      <c r="C63" s="148"/>
      <c r="D63" s="148"/>
      <c r="E63" s="161"/>
      <c r="F63" s="148"/>
    </row>
    <row r="64" spans="1:6" x14ac:dyDescent="0.2">
      <c r="C64" s="106"/>
      <c r="D64" s="106"/>
      <c r="E64" s="107"/>
    </row>
    <row r="68" spans="3:6" x14ac:dyDescent="0.2">
      <c r="C68" s="145"/>
      <c r="D68" s="145"/>
      <c r="E68" s="162"/>
      <c r="F68" s="145"/>
    </row>
    <row r="69" spans="3:6" x14ac:dyDescent="0.2">
      <c r="C69" s="145"/>
      <c r="D69" s="145"/>
      <c r="E69" s="162"/>
      <c r="F69" s="145"/>
    </row>
    <row r="70" spans="3:6" x14ac:dyDescent="0.2">
      <c r="C70" s="145"/>
      <c r="D70" s="145"/>
      <c r="E70" s="162"/>
      <c r="F70" s="145"/>
    </row>
    <row r="71" spans="3:6" x14ac:dyDescent="0.2">
      <c r="C71" s="145"/>
      <c r="D71" s="145"/>
      <c r="E71" s="162"/>
      <c r="F71" s="145"/>
    </row>
    <row r="72" spans="3:6" x14ac:dyDescent="0.2">
      <c r="C72" s="145"/>
      <c r="D72" s="145"/>
      <c r="E72" s="162"/>
      <c r="F72" s="145"/>
    </row>
    <row r="73" spans="3:6" x14ac:dyDescent="0.2">
      <c r="C73" s="145"/>
      <c r="D73" s="145"/>
      <c r="E73" s="162"/>
      <c r="F73" s="145"/>
    </row>
    <row r="74" spans="3:6" x14ac:dyDescent="0.2">
      <c r="C74" s="145"/>
      <c r="D74" s="145"/>
      <c r="E74" s="162"/>
      <c r="F74" s="145"/>
    </row>
  </sheetData>
  <mergeCells count="5">
    <mergeCell ref="B4:E4"/>
    <mergeCell ref="C9:E9"/>
    <mergeCell ref="C11:E11"/>
    <mergeCell ref="C31:E31"/>
    <mergeCell ref="B36:E3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8D08C-409E-4073-A8B9-CFB39695BBEA}">
  <dimension ref="A1:AE78"/>
  <sheetViews>
    <sheetView tabSelected="1" topLeftCell="C7" zoomScale="90" zoomScaleNormal="90" workbookViewId="0">
      <selection activeCell="O19" sqref="O19"/>
    </sheetView>
  </sheetViews>
  <sheetFormatPr defaultRowHeight="15" x14ac:dyDescent="0.25"/>
  <cols>
    <col min="1" max="1" width="64.28515625" customWidth="1"/>
    <col min="2" max="2" width="13.140625" customWidth="1"/>
    <col min="3" max="3" width="17" customWidth="1"/>
    <col min="4" max="6" width="16.42578125" customWidth="1"/>
    <col min="7" max="7" width="12.7109375" customWidth="1"/>
    <col min="8" max="8" width="16.140625" customWidth="1"/>
    <col min="9" max="9" width="11" bestFit="1" customWidth="1"/>
    <col min="10" max="10" width="18.42578125" customWidth="1"/>
    <col min="11" max="11" width="17" customWidth="1"/>
    <col min="12" max="12" width="14.7109375" customWidth="1"/>
    <col min="13" max="13" width="11.28515625" bestFit="1" customWidth="1"/>
    <col min="14" max="14" width="12.5703125" bestFit="1" customWidth="1"/>
    <col min="15" max="15" width="38.42578125" bestFit="1" customWidth="1"/>
    <col min="16" max="24" width="21.5703125" customWidth="1"/>
    <col min="25" max="25" width="9.140625" style="78"/>
  </cols>
  <sheetData>
    <row r="1" spans="1:31" x14ac:dyDescent="0.25">
      <c r="A1" s="310" t="s">
        <v>18</v>
      </c>
      <c r="B1" s="310"/>
      <c r="C1" s="310"/>
      <c r="D1" s="12"/>
      <c r="E1" s="12"/>
      <c r="F1" s="12"/>
      <c r="G1" s="4"/>
      <c r="H1" s="19"/>
      <c r="I1" s="1"/>
      <c r="J1" s="15"/>
      <c r="K1" s="4"/>
      <c r="L1" s="15"/>
    </row>
    <row r="2" spans="1:31" s="253" customFormat="1" ht="30" x14ac:dyDescent="0.25">
      <c r="A2" s="247"/>
      <c r="B2" s="248"/>
      <c r="C2" s="247"/>
      <c r="D2" s="248"/>
      <c r="E2" s="248"/>
      <c r="F2" s="248"/>
      <c r="G2" s="249"/>
      <c r="H2" s="250"/>
      <c r="I2" s="251"/>
      <c r="J2" s="252"/>
      <c r="K2" s="249"/>
      <c r="L2" s="252"/>
      <c r="O2" s="254" t="s">
        <v>6</v>
      </c>
      <c r="P2" s="254" t="s">
        <v>7</v>
      </c>
      <c r="Q2" s="254" t="s">
        <v>8</v>
      </c>
      <c r="R2" s="254" t="s">
        <v>9</v>
      </c>
      <c r="S2" s="254" t="s">
        <v>119</v>
      </c>
      <c r="T2" s="254" t="s">
        <v>5</v>
      </c>
      <c r="U2" s="254" t="s">
        <v>120</v>
      </c>
      <c r="V2" s="254" t="s">
        <v>99</v>
      </c>
      <c r="W2" s="254" t="s">
        <v>125</v>
      </c>
      <c r="X2" s="255" t="s">
        <v>91</v>
      </c>
      <c r="Y2" s="256"/>
    </row>
    <row r="3" spans="1:31" ht="18.75" thickBot="1" x14ac:dyDescent="0.3">
      <c r="A3" s="2" t="s">
        <v>96</v>
      </c>
      <c r="B3" s="13"/>
      <c r="C3" s="4"/>
      <c r="D3" s="16"/>
      <c r="E3" s="311"/>
      <c r="F3" s="311"/>
      <c r="G3" s="4"/>
      <c r="H3" s="19"/>
      <c r="I3" s="4"/>
      <c r="J3" s="19"/>
      <c r="K3" s="5"/>
      <c r="L3" s="15"/>
      <c r="O3" s="7" t="s">
        <v>10</v>
      </c>
      <c r="P3" s="8">
        <v>1236.8999999999996</v>
      </c>
      <c r="Q3" s="8">
        <v>0</v>
      </c>
      <c r="R3" s="8">
        <v>307.249373881932</v>
      </c>
      <c r="S3" s="8">
        <v>0</v>
      </c>
      <c r="T3" s="82">
        <v>1544.1493738819318</v>
      </c>
      <c r="U3" s="124">
        <f>T3/$T$8</f>
        <v>0.74791696884720127</v>
      </c>
      <c r="V3" s="82">
        <v>1330.9398032200354</v>
      </c>
      <c r="W3" s="124">
        <f>V3/$V$8</f>
        <v>0.74155326678183398</v>
      </c>
      <c r="X3" s="144">
        <v>5</v>
      </c>
      <c r="Y3" s="163"/>
    </row>
    <row r="4" spans="1:31" ht="30.75" thickBot="1" x14ac:dyDescent="0.3">
      <c r="A4" s="3" t="s">
        <v>2</v>
      </c>
      <c r="B4" s="14" t="s">
        <v>3</v>
      </c>
      <c r="C4" s="235" t="s">
        <v>106</v>
      </c>
      <c r="D4" s="118" t="s">
        <v>4</v>
      </c>
      <c r="E4" s="235" t="s">
        <v>107</v>
      </c>
      <c r="F4" s="119" t="s">
        <v>108</v>
      </c>
      <c r="G4" s="235" t="s">
        <v>109</v>
      </c>
      <c r="H4" s="118" t="s">
        <v>69</v>
      </c>
      <c r="I4" s="235" t="s">
        <v>111</v>
      </c>
      <c r="J4" s="118" t="s">
        <v>110</v>
      </c>
      <c r="K4" s="235" t="s">
        <v>112</v>
      </c>
      <c r="L4" s="118" t="s">
        <v>113</v>
      </c>
      <c r="M4" s="25" t="s">
        <v>5</v>
      </c>
      <c r="O4" s="7" t="s">
        <v>17</v>
      </c>
      <c r="P4" s="8">
        <v>106</v>
      </c>
      <c r="Q4" s="8">
        <v>61.768177028450999</v>
      </c>
      <c r="R4" s="8">
        <v>26.330692563250711</v>
      </c>
      <c r="S4" s="8">
        <v>0</v>
      </c>
      <c r="T4" s="82">
        <v>194.09886959170171</v>
      </c>
      <c r="U4" s="124">
        <f t="shared" ref="U4:U8" si="0">T4/$T$8</f>
        <v>9.4012820687640081E-2</v>
      </c>
      <c r="V4" s="82">
        <v>175.82721101771753</v>
      </c>
      <c r="W4" s="124">
        <f t="shared" ref="W4:W8" si="1">V4/$V$8</f>
        <v>9.7964793301603278E-2</v>
      </c>
      <c r="X4" s="144">
        <v>2</v>
      </c>
      <c r="Y4" s="163"/>
    </row>
    <row r="5" spans="1:31" x14ac:dyDescent="0.25">
      <c r="A5" s="83" t="s">
        <v>67</v>
      </c>
      <c r="B5" s="312" t="s">
        <v>97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228">
        <f>SUM(C5,E5,G5,I5,K5)</f>
        <v>0</v>
      </c>
      <c r="N5" s="6"/>
      <c r="O5" s="7" t="s">
        <v>19</v>
      </c>
      <c r="P5" s="8">
        <v>72.900000000000006</v>
      </c>
      <c r="Q5" s="8">
        <v>42.480189673340362</v>
      </c>
      <c r="R5" s="8">
        <v>18.108561206235631</v>
      </c>
      <c r="S5" s="8">
        <v>0</v>
      </c>
      <c r="T5" s="82">
        <v>133.488750879576</v>
      </c>
      <c r="U5" s="124">
        <f t="shared" si="0"/>
        <v>6.4655987057820399E-2</v>
      </c>
      <c r="V5" s="82">
        <v>120.92267625652462</v>
      </c>
      <c r="W5" s="124">
        <f t="shared" si="1"/>
        <v>6.7373900298932823E-2</v>
      </c>
      <c r="X5" s="144">
        <v>1</v>
      </c>
      <c r="Y5" s="163"/>
    </row>
    <row r="6" spans="1:31" x14ac:dyDescent="0.25">
      <c r="A6" s="84" t="s">
        <v>95</v>
      </c>
      <c r="B6" s="314" t="s">
        <v>134</v>
      </c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229">
        <f>SUM(C6,E6,G6,I6,K6)</f>
        <v>0</v>
      </c>
      <c r="N6" s="6"/>
      <c r="O6" s="7" t="s">
        <v>101</v>
      </c>
      <c r="P6" s="8">
        <v>10.9</v>
      </c>
      <c r="Q6" s="8">
        <v>6.3516332982086414</v>
      </c>
      <c r="R6" s="8">
        <v>2.7075900843342713</v>
      </c>
      <c r="S6" s="8">
        <v>0</v>
      </c>
      <c r="T6" s="82">
        <v>19.959223382542913</v>
      </c>
      <c r="U6" s="124">
        <f t="shared" si="0"/>
        <v>9.6673560895780847E-3</v>
      </c>
      <c r="V6" s="82">
        <v>18.080345283897373</v>
      </c>
      <c r="W6" s="124">
        <f t="shared" si="1"/>
        <v>1.0073738179127132E-2</v>
      </c>
      <c r="X6" s="144"/>
      <c r="Y6" s="163"/>
    </row>
    <row r="7" spans="1:31" x14ac:dyDescent="0.25">
      <c r="A7" s="116" t="s">
        <v>70</v>
      </c>
      <c r="B7" s="113"/>
      <c r="C7" s="1"/>
      <c r="D7" s="185">
        <f>Kontorimööbel!E5+Eritellimusmööbel!E5</f>
        <v>193259.11311541166</v>
      </c>
      <c r="E7" s="75"/>
      <c r="F7" s="185">
        <f>Kontorimööbel!E6+Eritellimusmööbel!E6</f>
        <v>23442.222222162083</v>
      </c>
      <c r="G7" s="186"/>
      <c r="H7" s="185">
        <f>Kontorimööbel!E7+Eritellimusmööbel!E7</f>
        <v>19497.290905619018</v>
      </c>
      <c r="I7" s="186"/>
      <c r="J7" s="185">
        <f>Kontorimööbel!E8+Eritellimusmööbel!E8</f>
        <v>2172.6437568072329</v>
      </c>
      <c r="K7" s="186"/>
      <c r="L7" s="115">
        <v>0</v>
      </c>
      <c r="M7" s="26">
        <f>SUM(D7:L7)</f>
        <v>238371.27</v>
      </c>
      <c r="N7" s="6"/>
      <c r="O7" s="7" t="s">
        <v>102</v>
      </c>
      <c r="P7" s="203">
        <v>138.5</v>
      </c>
      <c r="Q7" s="203">
        <v>1.4210854715202004E-14</v>
      </c>
      <c r="R7" s="203">
        <v>34.40378226424739</v>
      </c>
      <c r="S7" s="203">
        <v>0</v>
      </c>
      <c r="T7" s="204">
        <v>172.90378226424738</v>
      </c>
      <c r="U7" s="205">
        <f t="shared" si="0"/>
        <v>8.3746867317760043E-2</v>
      </c>
      <c r="V7" s="204">
        <v>149.02996422182468</v>
      </c>
      <c r="W7" s="205">
        <f t="shared" si="1"/>
        <v>8.3034301438502739E-2</v>
      </c>
      <c r="X7" s="144"/>
      <c r="Y7" s="163"/>
    </row>
    <row r="8" spans="1:31" ht="15.75" thickBot="1" x14ac:dyDescent="0.3">
      <c r="A8" s="112"/>
      <c r="B8" s="114"/>
      <c r="C8" s="1"/>
      <c r="D8" s="17"/>
      <c r="E8" s="114"/>
      <c r="F8" s="114"/>
      <c r="G8" s="1"/>
      <c r="H8" s="17"/>
      <c r="I8" s="1"/>
      <c r="J8" s="17"/>
      <c r="K8" s="1"/>
      <c r="L8" s="20"/>
      <c r="M8" s="27"/>
      <c r="N8" s="6"/>
      <c r="O8" s="7" t="s">
        <v>11</v>
      </c>
      <c r="P8" s="203">
        <v>1565.1999999999998</v>
      </c>
      <c r="Q8" s="203">
        <v>110.60000000000001</v>
      </c>
      <c r="R8" s="203">
        <v>388.8</v>
      </c>
      <c r="S8" s="203">
        <v>0</v>
      </c>
      <c r="T8" s="204">
        <v>2064.6</v>
      </c>
      <c r="U8" s="205">
        <f t="shared" si="0"/>
        <v>1</v>
      </c>
      <c r="V8" s="204">
        <v>1794.7999999999997</v>
      </c>
      <c r="W8" s="205">
        <f t="shared" si="1"/>
        <v>1</v>
      </c>
      <c r="X8" s="144">
        <v>0</v>
      </c>
      <c r="Y8" s="163"/>
    </row>
    <row r="9" spans="1:31" ht="31.5" x14ac:dyDescent="0.35">
      <c r="A9" s="32" t="s">
        <v>14</v>
      </c>
      <c r="B9" s="33"/>
      <c r="C9" s="231" t="s">
        <v>106</v>
      </c>
      <c r="D9" s="232" t="s">
        <v>4</v>
      </c>
      <c r="E9" s="231" t="s">
        <v>107</v>
      </c>
      <c r="F9" s="233" t="s">
        <v>108</v>
      </c>
      <c r="G9" s="231" t="s">
        <v>109</v>
      </c>
      <c r="H9" s="232" t="s">
        <v>69</v>
      </c>
      <c r="I9" s="231" t="s">
        <v>111</v>
      </c>
      <c r="J9" s="232" t="s">
        <v>110</v>
      </c>
      <c r="K9" s="231" t="s">
        <v>112</v>
      </c>
      <c r="L9" s="234" t="s">
        <v>113</v>
      </c>
      <c r="M9" s="40"/>
      <c r="N9" s="6"/>
      <c r="O9" s="7" t="s">
        <v>103</v>
      </c>
      <c r="P9" s="206" t="s">
        <v>104</v>
      </c>
      <c r="Q9" s="206" t="s">
        <v>104</v>
      </c>
      <c r="R9" s="206" t="s">
        <v>104</v>
      </c>
      <c r="S9" s="206" t="s">
        <v>104</v>
      </c>
      <c r="T9" s="204">
        <v>0</v>
      </c>
      <c r="U9" s="205" t="s">
        <v>104</v>
      </c>
      <c r="V9" s="204">
        <v>0</v>
      </c>
      <c r="W9" s="205" t="s">
        <v>104</v>
      </c>
      <c r="X9" s="144">
        <f>SUM(X3:X8)</f>
        <v>8</v>
      </c>
      <c r="Y9" s="163"/>
    </row>
    <row r="10" spans="1:31" ht="21" x14ac:dyDescent="0.35">
      <c r="A10" s="34"/>
      <c r="B10" s="15"/>
      <c r="C10" s="126">
        <f>W3</f>
        <v>0.74155326678183398</v>
      </c>
      <c r="D10" s="18"/>
      <c r="E10" s="44">
        <f>W4</f>
        <v>9.7964793301603278E-2</v>
      </c>
      <c r="F10" s="66"/>
      <c r="G10" s="44">
        <f>W5</f>
        <v>6.7373900298932823E-2</v>
      </c>
      <c r="H10" s="18"/>
      <c r="I10" s="44">
        <f>W6</f>
        <v>1.0073738179127132E-2</v>
      </c>
      <c r="J10" s="18"/>
      <c r="K10" s="44">
        <f>W7</f>
        <v>8.3034301438502739E-2</v>
      </c>
      <c r="L10" s="47"/>
      <c r="M10" s="30"/>
      <c r="N10" s="6"/>
    </row>
    <row r="11" spans="1:31" ht="15.75" x14ac:dyDescent="0.25">
      <c r="A11" s="35" t="s">
        <v>12</v>
      </c>
      <c r="B11" s="23"/>
      <c r="C11" s="45"/>
      <c r="D11" s="49">
        <f>$M$11*C10</f>
        <v>1261894.5201032457</v>
      </c>
      <c r="E11" s="51"/>
      <c r="F11" s="49">
        <f>$M$11*E10</f>
        <v>166705.80707819859</v>
      </c>
      <c r="G11" s="50"/>
      <c r="H11" s="49">
        <f>$M$11*G10</f>
        <v>114649.55977359129</v>
      </c>
      <c r="I11" s="50"/>
      <c r="J11" s="49">
        <f>$M$11*I10</f>
        <v>17142.389595777029</v>
      </c>
      <c r="K11" s="50"/>
      <c r="L11" s="49">
        <f>$M$11*K10</f>
        <v>141298.72344918718</v>
      </c>
      <c r="M11" s="208">
        <f>'Lisa 6.1.R15'!F48-M12-M19-M22-M34</f>
        <v>1701691</v>
      </c>
      <c r="N11" s="31"/>
    </row>
    <row r="12" spans="1:31" ht="15.75" x14ac:dyDescent="0.25">
      <c r="A12" s="36" t="s">
        <v>1</v>
      </c>
      <c r="B12" s="138"/>
      <c r="C12" s="134"/>
      <c r="D12" s="121">
        <f>$M$12*C10</f>
        <v>48267.702134829575</v>
      </c>
      <c r="E12" s="122"/>
      <c r="F12" s="121">
        <f>$M$12*E10</f>
        <v>6376.5283960013576</v>
      </c>
      <c r="G12" s="123"/>
      <c r="H12" s="121">
        <f>$M$12*G10</f>
        <v>4385.3671704575372</v>
      </c>
      <c r="I12" s="123"/>
      <c r="J12" s="121">
        <f>$M$12*I10</f>
        <v>655.699618079385</v>
      </c>
      <c r="K12" s="123"/>
      <c r="L12" s="121">
        <f>$M$12*K10</f>
        <v>5404.7026806321437</v>
      </c>
      <c r="M12" s="29">
        <f>'Lisa 6.1.R15'!F42</f>
        <v>65090</v>
      </c>
      <c r="N12" s="31"/>
      <c r="O12" s="9" t="s">
        <v>71</v>
      </c>
      <c r="P12" s="24">
        <f>'Lisa 6.1.R15'!F50</f>
        <v>93718.069101913134</v>
      </c>
    </row>
    <row r="13" spans="1:31" ht="15.75" customHeight="1" x14ac:dyDescent="0.25">
      <c r="A13" s="36" t="s">
        <v>16</v>
      </c>
      <c r="B13" s="138"/>
      <c r="C13" s="134"/>
      <c r="D13" s="52">
        <f>SUM(D11:D12)</f>
        <v>1310162.2222380752</v>
      </c>
      <c r="E13" s="67"/>
      <c r="F13" s="52">
        <f>SUM(F11:F12)</f>
        <v>173082.33547419994</v>
      </c>
      <c r="G13" s="53"/>
      <c r="H13" s="52">
        <f>SUM(H11:H12)</f>
        <v>119034.92694404883</v>
      </c>
      <c r="I13" s="53"/>
      <c r="J13" s="52">
        <f>SUM(J11:J12)</f>
        <v>17798.089213856416</v>
      </c>
      <c r="K13" s="53"/>
      <c r="L13" s="52">
        <f>SUM(L11:L12)</f>
        <v>146703.42612981933</v>
      </c>
      <c r="M13" s="28">
        <f>SUM(M11:M12)</f>
        <v>1766781</v>
      </c>
      <c r="N13" s="31"/>
      <c r="O13" s="62"/>
      <c r="P13" s="63"/>
    </row>
    <row r="14" spans="1:31" ht="15.75" x14ac:dyDescent="0.25">
      <c r="A14" s="48" t="s">
        <v>13</v>
      </c>
      <c r="B14" s="110"/>
      <c r="C14" s="55"/>
      <c r="D14" s="54">
        <f>$M$14*C10</f>
        <v>54455.264676005092</v>
      </c>
      <c r="E14" s="55"/>
      <c r="F14" s="54">
        <f>$M$14*E10</f>
        <v>7193.952190811955</v>
      </c>
      <c r="G14" s="55"/>
      <c r="H14" s="54">
        <f>$M$14*G10</f>
        <v>4947.5388180206755</v>
      </c>
      <c r="I14" s="55"/>
      <c r="J14" s="54">
        <f>$M$14*I10</f>
        <v>739.75546113066355</v>
      </c>
      <c r="K14" s="55"/>
      <c r="L14" s="54">
        <f>$M$14*K10</f>
        <v>6097.5456040316167</v>
      </c>
      <c r="M14" s="29">
        <f>'Lisa 6.1.R15'!F49</f>
        <v>73434.056750000003</v>
      </c>
      <c r="N14" s="31"/>
      <c r="O14" s="9" t="s">
        <v>140</v>
      </c>
      <c r="P14" s="24">
        <v>344717.93333333335</v>
      </c>
    </row>
    <row r="15" spans="1:31" ht="16.5" thickBot="1" x14ac:dyDescent="0.3">
      <c r="A15" s="48" t="s">
        <v>71</v>
      </c>
      <c r="B15" s="111"/>
      <c r="C15" s="109"/>
      <c r="D15" s="108">
        <f>$M$15*C10</f>
        <v>69496.940299009337</v>
      </c>
      <c r="E15" s="55"/>
      <c r="F15" s="108">
        <f>$M$15*E10</f>
        <v>9181.0712681942932</v>
      </c>
      <c r="G15" s="55"/>
      <c r="H15" s="108">
        <f>$M$15*G10</f>
        <v>6314.1518438807925</v>
      </c>
      <c r="I15" s="55"/>
      <c r="J15" s="108">
        <f>$M$15*I10</f>
        <v>944.09129078601711</v>
      </c>
      <c r="K15" s="55"/>
      <c r="L15" s="108">
        <f>$M$15*K10</f>
        <v>7781.8144000426846</v>
      </c>
      <c r="M15" s="117">
        <f>'Lisa 6.1.R15'!F50</f>
        <v>93718.069101913134</v>
      </c>
      <c r="N15" s="31"/>
      <c r="O15" s="9" t="s">
        <v>141</v>
      </c>
      <c r="P15" s="24">
        <v>71932.200000000012</v>
      </c>
      <c r="Z15" s="78"/>
      <c r="AA15" s="78"/>
      <c r="AB15" s="78"/>
      <c r="AC15" s="78"/>
      <c r="AD15" s="78"/>
      <c r="AE15" s="78"/>
    </row>
    <row r="16" spans="1:31" ht="16.5" thickBot="1" x14ac:dyDescent="0.3">
      <c r="A16" s="42" t="s">
        <v>74</v>
      </c>
      <c r="B16" s="139"/>
      <c r="C16" s="135"/>
      <c r="D16" s="56">
        <f>SUM(D13:D15)</f>
        <v>1434114.4272130898</v>
      </c>
      <c r="E16" s="58"/>
      <c r="F16" s="56">
        <f>$M$16*E10</f>
        <v>189457.35893320618</v>
      </c>
      <c r="G16" s="57"/>
      <c r="H16" s="56">
        <f>$M$16*G10</f>
        <v>130296.61760595031</v>
      </c>
      <c r="I16" s="57"/>
      <c r="J16" s="56">
        <f>$M$16*I10</f>
        <v>19481.935965773093</v>
      </c>
      <c r="K16" s="57"/>
      <c r="L16" s="56">
        <f>$M$16*K10</f>
        <v>160582.78613389362</v>
      </c>
      <c r="M16" s="43">
        <f>SUM(M13:M15)</f>
        <v>1933933.1258519131</v>
      </c>
      <c r="N16" s="31"/>
      <c r="O16" s="9" t="s">
        <v>142</v>
      </c>
      <c r="P16" s="24">
        <v>76800</v>
      </c>
      <c r="Y16" s="79"/>
      <c r="Z16" s="79"/>
      <c r="AA16" s="80"/>
      <c r="AB16" s="79"/>
      <c r="AC16" s="80"/>
      <c r="AD16" s="79"/>
      <c r="AE16" s="81"/>
    </row>
    <row r="17" spans="1:31" ht="15.75" x14ac:dyDescent="0.25">
      <c r="A17" s="21"/>
      <c r="B17" s="140"/>
      <c r="C17" s="136"/>
      <c r="D17" s="59"/>
      <c r="E17" s="68"/>
      <c r="F17" s="59"/>
      <c r="G17" s="60"/>
      <c r="H17" s="59"/>
      <c r="I17" s="60"/>
      <c r="J17" s="59"/>
      <c r="K17" s="60"/>
      <c r="L17" s="59"/>
      <c r="M17" s="29"/>
      <c r="N17" s="31"/>
      <c r="O17" s="9" t="s">
        <v>143</v>
      </c>
      <c r="P17" s="24">
        <v>25600</v>
      </c>
      <c r="Y17" s="79"/>
      <c r="Z17" s="79"/>
      <c r="AA17" s="80"/>
      <c r="AB17" s="79"/>
      <c r="AC17" s="80"/>
      <c r="AD17" s="79"/>
      <c r="AE17" s="81"/>
    </row>
    <row r="18" spans="1:31" ht="16.5" thickBot="1" x14ac:dyDescent="0.3">
      <c r="A18" s="35" t="s">
        <v>89</v>
      </c>
      <c r="B18" s="141"/>
      <c r="C18" s="137"/>
      <c r="D18" s="49">
        <f>$M$18*X3/$X$9</f>
        <v>80000</v>
      </c>
      <c r="E18" s="51"/>
      <c r="F18" s="49">
        <f>$M$18*X4/$X$9</f>
        <v>32000</v>
      </c>
      <c r="G18" s="50"/>
      <c r="H18" s="49">
        <f>$M$18*X5/$X$9</f>
        <v>16000</v>
      </c>
      <c r="I18" s="50"/>
      <c r="J18" s="49">
        <f>$M$18*X6/$X$9</f>
        <v>0</v>
      </c>
      <c r="K18" s="50"/>
      <c r="L18" s="49">
        <v>0</v>
      </c>
      <c r="M18" s="39">
        <v>128000</v>
      </c>
      <c r="N18" s="31"/>
      <c r="O18" s="9" t="s">
        <v>145</v>
      </c>
      <c r="P18" s="24">
        <v>775.00838531409283</v>
      </c>
      <c r="Z18" s="78"/>
      <c r="AA18" s="78"/>
      <c r="AB18" s="78"/>
      <c r="AC18" s="78"/>
      <c r="AD18" s="78"/>
      <c r="AE18" s="78"/>
    </row>
    <row r="19" spans="1:31" ht="16.5" thickBot="1" x14ac:dyDescent="0.3">
      <c r="A19" s="42" t="s">
        <v>90</v>
      </c>
      <c r="B19" s="139"/>
      <c r="C19" s="135"/>
      <c r="D19" s="56">
        <f>SUM(D18:D18)</f>
        <v>80000</v>
      </c>
      <c r="E19" s="58"/>
      <c r="F19" s="56">
        <f>SUM(F18:F18)</f>
        <v>32000</v>
      </c>
      <c r="G19" s="57"/>
      <c r="H19" s="56">
        <f>SUM(H18:H18)</f>
        <v>16000</v>
      </c>
      <c r="I19" s="57"/>
      <c r="J19" s="56">
        <f>SUM(J18:J18)</f>
        <v>0</v>
      </c>
      <c r="K19" s="57"/>
      <c r="L19" s="56">
        <f>SUM(L18:L18)</f>
        <v>0</v>
      </c>
      <c r="M19" s="179">
        <f>SUM(M18:M18)</f>
        <v>128000</v>
      </c>
      <c r="N19" s="31"/>
      <c r="O19" s="301"/>
      <c r="P19" s="302"/>
    </row>
    <row r="20" spans="1:31" ht="15.75" x14ac:dyDescent="0.25">
      <c r="A20" s="130"/>
      <c r="B20" s="142"/>
      <c r="C20" s="131"/>
      <c r="D20" s="132"/>
      <c r="E20" s="131"/>
      <c r="F20" s="132"/>
      <c r="G20" s="131"/>
      <c r="H20" s="132"/>
      <c r="I20" s="131"/>
      <c r="J20" s="132"/>
      <c r="K20" s="131"/>
      <c r="L20" s="132"/>
      <c r="M20" s="133"/>
      <c r="N20" s="31"/>
      <c r="P20" s="63"/>
    </row>
    <row r="21" spans="1:31" ht="16.5" thickBot="1" x14ac:dyDescent="0.3">
      <c r="A21" s="36" t="s">
        <v>0</v>
      </c>
      <c r="B21" s="138"/>
      <c r="C21" s="134"/>
      <c r="D21" s="52">
        <f>D7</f>
        <v>193259.11311541166</v>
      </c>
      <c r="E21" s="67"/>
      <c r="F21" s="52">
        <f>F7</f>
        <v>23442.222222162083</v>
      </c>
      <c r="G21" s="53"/>
      <c r="H21" s="52">
        <f>H7</f>
        <v>19497.290905619018</v>
      </c>
      <c r="I21" s="53"/>
      <c r="J21" s="52">
        <f>J7</f>
        <v>2172.6437568072329</v>
      </c>
      <c r="K21" s="53"/>
      <c r="L21" s="52">
        <f>L7</f>
        <v>0</v>
      </c>
      <c r="M21" s="28">
        <f>SUM(C21:L21)</f>
        <v>238371.27</v>
      </c>
      <c r="N21" s="31"/>
      <c r="P21" s="76"/>
      <c r="Q21" s="15"/>
    </row>
    <row r="22" spans="1:31" ht="16.5" thickBot="1" x14ac:dyDescent="0.3">
      <c r="A22" s="42" t="s">
        <v>15</v>
      </c>
      <c r="B22" s="139"/>
      <c r="C22" s="135"/>
      <c r="D22" s="56">
        <f>SUM(D21:D21)</f>
        <v>193259.11311541166</v>
      </c>
      <c r="E22" s="58"/>
      <c r="F22" s="56">
        <f>SUM(F21:F21)</f>
        <v>23442.222222162083</v>
      </c>
      <c r="G22" s="61"/>
      <c r="H22" s="56">
        <f>SUM(H21:H21)</f>
        <v>19497.290905619018</v>
      </c>
      <c r="I22" s="61"/>
      <c r="J22" s="56">
        <f>SUM(J21:J21)</f>
        <v>2172.6437568072329</v>
      </c>
      <c r="K22" s="61"/>
      <c r="L22" s="56">
        <f>SUM(L21:L21)</f>
        <v>0</v>
      </c>
      <c r="M22" s="43">
        <f>SUM(D22:L22)</f>
        <v>238371.27</v>
      </c>
      <c r="N22" s="31"/>
    </row>
    <row r="23" spans="1:31" ht="15.75" x14ac:dyDescent="0.25">
      <c r="A23" s="168"/>
      <c r="B23" s="169"/>
      <c r="C23" s="170"/>
      <c r="D23" s="171"/>
      <c r="E23" s="172"/>
      <c r="F23" s="171"/>
      <c r="G23" s="173"/>
      <c r="H23" s="171"/>
      <c r="I23" s="173"/>
      <c r="J23" s="171"/>
      <c r="K23" s="173"/>
      <c r="L23" s="171"/>
      <c r="M23" s="40"/>
      <c r="N23" s="31"/>
      <c r="P23" s="10"/>
    </row>
    <row r="24" spans="1:31" ht="15.75" x14ac:dyDescent="0.25">
      <c r="A24" s="37"/>
      <c r="B24" s="46"/>
      <c r="C24" s="127"/>
      <c r="D24" s="46"/>
      <c r="E24" s="65"/>
      <c r="F24" s="46"/>
      <c r="G24" s="127"/>
      <c r="H24" s="46"/>
      <c r="I24" s="127"/>
      <c r="J24" s="46"/>
      <c r="K24" s="127"/>
      <c r="L24" s="46"/>
      <c r="M24" s="30"/>
      <c r="N24" s="31"/>
      <c r="O24" s="15"/>
      <c r="P24" s="10"/>
    </row>
    <row r="25" spans="1:31" ht="15.75" x14ac:dyDescent="0.25">
      <c r="A25" s="38" t="s">
        <v>136</v>
      </c>
      <c r="B25" s="77"/>
      <c r="C25" s="128"/>
      <c r="D25" s="180"/>
      <c r="E25" s="181"/>
      <c r="F25" s="180">
        <f>$M$25*E10</f>
        <v>33770.221086355858</v>
      </c>
      <c r="G25" s="181"/>
      <c r="H25" s="180">
        <f>$M$25*G10</f>
        <v>23224.991671654174</v>
      </c>
      <c r="I25" s="181"/>
      <c r="J25" s="180">
        <f>$M$25*I10</f>
        <v>3472.5982060498018</v>
      </c>
      <c r="K25" s="181"/>
      <c r="L25" s="180">
        <f>$M$25*K10</f>
        <v>28623.412787657693</v>
      </c>
      <c r="M25" s="28">
        <f>P14</f>
        <v>344717.93333333335</v>
      </c>
      <c r="N25" s="6"/>
      <c r="O25" s="65"/>
      <c r="P25" s="70"/>
      <c r="Q25" s="71"/>
      <c r="R25" s="71"/>
      <c r="S25" s="71"/>
      <c r="T25" s="71"/>
      <c r="U25" s="71"/>
      <c r="V25" s="71"/>
      <c r="W25" s="71"/>
    </row>
    <row r="26" spans="1:31" ht="15.75" x14ac:dyDescent="0.25">
      <c r="A26" s="38" t="s">
        <v>137</v>
      </c>
      <c r="B26" s="77"/>
      <c r="C26" s="128"/>
      <c r="D26" s="180"/>
      <c r="E26" s="181"/>
      <c r="F26" s="180">
        <f>$M$26*2/8</f>
        <v>19200</v>
      </c>
      <c r="G26" s="181"/>
      <c r="H26" s="180">
        <f>$M$26*1/8</f>
        <v>9600</v>
      </c>
      <c r="I26" s="181"/>
      <c r="J26" s="180">
        <f>$M$26*0/8</f>
        <v>0</v>
      </c>
      <c r="K26" s="181"/>
      <c r="L26" s="180">
        <f>$M$26*0/8</f>
        <v>0</v>
      </c>
      <c r="M26" s="28">
        <f>P16</f>
        <v>76800</v>
      </c>
      <c r="N26" s="6"/>
      <c r="O26" s="65"/>
      <c r="P26" s="70"/>
      <c r="Q26" s="71"/>
      <c r="R26" s="71"/>
      <c r="S26" s="71"/>
      <c r="T26" s="71"/>
      <c r="U26" s="71"/>
      <c r="V26" s="71"/>
      <c r="W26" s="71"/>
    </row>
    <row r="27" spans="1:31" ht="15.75" x14ac:dyDescent="0.25">
      <c r="A27" s="38" t="s">
        <v>138</v>
      </c>
      <c r="B27" s="77"/>
      <c r="C27" s="128"/>
      <c r="D27" s="180">
        <f>$M$27*C10</f>
        <v>53341.557896804246</v>
      </c>
      <c r="E27" s="181"/>
      <c r="F27" s="180"/>
      <c r="G27" s="181"/>
      <c r="H27" s="180"/>
      <c r="I27" s="181"/>
      <c r="J27" s="180"/>
      <c r="K27" s="181"/>
      <c r="L27" s="180"/>
      <c r="M27" s="28">
        <f>P15</f>
        <v>71932.200000000012</v>
      </c>
      <c r="N27" s="6"/>
      <c r="O27" s="65"/>
      <c r="P27" s="70"/>
      <c r="Q27" s="71"/>
      <c r="R27" s="71"/>
      <c r="S27" s="71"/>
      <c r="T27" s="71"/>
      <c r="U27" s="71"/>
      <c r="V27" s="71"/>
      <c r="W27" s="71"/>
    </row>
    <row r="28" spans="1:31" ht="15.75" x14ac:dyDescent="0.25">
      <c r="A28" s="38" t="s">
        <v>139</v>
      </c>
      <c r="B28" s="77"/>
      <c r="C28" s="128"/>
      <c r="D28" s="180">
        <f>$M$28*5/8</f>
        <v>16000</v>
      </c>
      <c r="E28" s="181"/>
      <c r="F28" s="180"/>
      <c r="G28" s="181"/>
      <c r="H28" s="180"/>
      <c r="I28" s="181"/>
      <c r="J28" s="180"/>
      <c r="K28" s="181"/>
      <c r="L28" s="180"/>
      <c r="M28" s="28">
        <f>P17</f>
        <v>25600</v>
      </c>
      <c r="N28" s="6"/>
      <c r="O28" s="65"/>
      <c r="P28" s="70"/>
      <c r="Q28" s="71"/>
      <c r="R28" s="71"/>
      <c r="S28" s="71"/>
      <c r="T28" s="71"/>
      <c r="U28" s="71"/>
      <c r="V28" s="71"/>
      <c r="W28" s="71"/>
    </row>
    <row r="29" spans="1:31" ht="15.75" x14ac:dyDescent="0.25">
      <c r="A29" s="38" t="s">
        <v>73</v>
      </c>
      <c r="B29" s="77"/>
      <c r="C29" s="128"/>
      <c r="D29" s="180">
        <f>SUM(D25:D28)</f>
        <v>69341.557896804239</v>
      </c>
      <c r="E29" s="181"/>
      <c r="F29" s="180">
        <f t="shared" ref="F29:L29" si="2">SUM(F25:F26)</f>
        <v>52970.221086355858</v>
      </c>
      <c r="G29" s="181"/>
      <c r="H29" s="180">
        <f t="shared" si="2"/>
        <v>32824.991671654177</v>
      </c>
      <c r="I29" s="181"/>
      <c r="J29" s="180">
        <f t="shared" si="2"/>
        <v>3472.5982060498018</v>
      </c>
      <c r="K29" s="181"/>
      <c r="L29" s="180">
        <f t="shared" si="2"/>
        <v>28623.412787657693</v>
      </c>
      <c r="M29" s="28">
        <f>SUM(M25:M26)</f>
        <v>421517.93333333335</v>
      </c>
      <c r="N29" s="6"/>
      <c r="O29" s="65"/>
      <c r="P29" s="70"/>
      <c r="Q29" s="71"/>
      <c r="R29" s="71"/>
      <c r="S29" s="71"/>
      <c r="T29" s="71"/>
      <c r="U29" s="71"/>
      <c r="V29" s="71"/>
      <c r="W29" s="71"/>
    </row>
    <row r="30" spans="1:31" x14ac:dyDescent="0.25">
      <c r="A30" s="37"/>
      <c r="B30" s="46"/>
      <c r="C30" s="127"/>
      <c r="D30" s="182"/>
      <c r="E30" s="69"/>
      <c r="F30" s="182"/>
      <c r="G30" s="183"/>
      <c r="H30" s="182"/>
      <c r="I30" s="183"/>
      <c r="J30" s="182"/>
      <c r="K30" s="183"/>
      <c r="L30" s="182"/>
      <c r="M30" s="30"/>
      <c r="N30" s="6"/>
      <c r="O30" s="65"/>
      <c r="P30" s="70"/>
      <c r="Q30" s="71"/>
      <c r="R30" s="71"/>
      <c r="S30" s="71"/>
      <c r="T30" s="71"/>
      <c r="U30" s="71"/>
      <c r="V30" s="71"/>
      <c r="W30" s="71"/>
    </row>
    <row r="31" spans="1:31" ht="15.75" x14ac:dyDescent="0.25">
      <c r="A31" s="38" t="s">
        <v>144</v>
      </c>
      <c r="B31" s="77"/>
      <c r="C31" s="128"/>
      <c r="D31" s="180">
        <f>ROUND(D7/$M$7*$P$18,2)</f>
        <v>628.34</v>
      </c>
      <c r="E31" s="181"/>
      <c r="F31" s="180">
        <f>ROUND(F7/$M$7*$P$18,2)</f>
        <v>76.22</v>
      </c>
      <c r="G31" s="184"/>
      <c r="H31" s="180">
        <f>ROUND(H7/$M$7*$P$18,2)</f>
        <v>63.39</v>
      </c>
      <c r="I31" s="184"/>
      <c r="J31" s="180">
        <f>ROUND(J7/$M$7*$P$18,2)</f>
        <v>7.06</v>
      </c>
      <c r="K31" s="184"/>
      <c r="L31" s="180">
        <f>ROUND(L7/$M$7*$P$18,2)</f>
        <v>0</v>
      </c>
      <c r="M31" s="28">
        <f>SUM(D31:L31)</f>
        <v>775.01</v>
      </c>
      <c r="N31" s="6"/>
      <c r="O31" s="71"/>
      <c r="P31" s="70"/>
      <c r="Q31" s="71"/>
      <c r="R31" s="71"/>
      <c r="S31" s="71"/>
      <c r="T31" s="71"/>
      <c r="U31" s="71"/>
      <c r="V31" s="71"/>
      <c r="W31" s="71"/>
    </row>
    <row r="32" spans="1:31" x14ac:dyDescent="0.25">
      <c r="A32" s="37"/>
      <c r="B32" s="46"/>
      <c r="C32" s="129"/>
      <c r="D32" s="46"/>
      <c r="E32" s="65"/>
      <c r="F32" s="46"/>
      <c r="G32" s="129"/>
      <c r="H32" s="46"/>
      <c r="I32" s="129"/>
      <c r="J32" s="46"/>
      <c r="K32" s="129"/>
      <c r="L32" s="46"/>
      <c r="M32" s="30"/>
      <c r="N32" s="85"/>
      <c r="O32" s="71"/>
      <c r="P32" s="70"/>
      <c r="Q32" s="71"/>
      <c r="R32" s="71"/>
      <c r="S32" s="71"/>
      <c r="T32" s="71"/>
      <c r="U32" s="71"/>
      <c r="V32" s="71"/>
      <c r="W32" s="71"/>
    </row>
    <row r="33" spans="1:25" ht="15.75" x14ac:dyDescent="0.25">
      <c r="A33" s="38" t="s">
        <v>93</v>
      </c>
      <c r="B33" s="174"/>
      <c r="C33" s="175"/>
      <c r="D33" s="209">
        <f>D16+D19+D22</f>
        <v>1707373.5403285015</v>
      </c>
      <c r="E33" s="187"/>
      <c r="F33" s="209">
        <f>F16+F19+F22</f>
        <v>244899.58115536827</v>
      </c>
      <c r="G33" s="187"/>
      <c r="H33" s="209">
        <f>H16+H19+H22</f>
        <v>165793.90851156932</v>
      </c>
      <c r="I33" s="187"/>
      <c r="J33" s="209">
        <f>J16+J19+J22</f>
        <v>21654.579722580325</v>
      </c>
      <c r="K33" s="187"/>
      <c r="L33" s="209">
        <f>L16+L19+L22</f>
        <v>160582.78613389362</v>
      </c>
      <c r="M33" s="28">
        <f>M16+M19+M22</f>
        <v>2300304.3958519129</v>
      </c>
      <c r="N33" s="167"/>
      <c r="O33" s="71"/>
      <c r="P33" s="70"/>
      <c r="Q33" s="71"/>
      <c r="R33" s="71"/>
      <c r="S33" s="71"/>
      <c r="T33" s="71"/>
      <c r="U33" s="71"/>
      <c r="V33" s="71"/>
      <c r="W33" s="71"/>
    </row>
    <row r="34" spans="1:25" ht="16.5" thickBot="1" x14ac:dyDescent="0.3">
      <c r="A34" s="176" t="s">
        <v>94</v>
      </c>
      <c r="B34" s="177"/>
      <c r="C34" s="178"/>
      <c r="D34" s="122">
        <f>M34*C10</f>
        <v>596364.5526786187</v>
      </c>
      <c r="E34" s="123"/>
      <c r="F34" s="122">
        <f>E10*M34</f>
        <v>78784.266421082371</v>
      </c>
      <c r="G34" s="123"/>
      <c r="H34" s="122">
        <f>M34*G10</f>
        <v>54182.764359404769</v>
      </c>
      <c r="I34" s="123"/>
      <c r="J34" s="122">
        <f>M34*I10</f>
        <v>8101.4009810358311</v>
      </c>
      <c r="K34" s="123"/>
      <c r="L34" s="122">
        <f>M34*K10</f>
        <v>66777.015559858293</v>
      </c>
      <c r="M34" s="29">
        <f>'Lisa 6.1.R15'!E52</f>
        <v>804210</v>
      </c>
      <c r="O34" s="71"/>
      <c r="P34" s="70"/>
      <c r="Q34" s="71"/>
      <c r="R34" s="71"/>
      <c r="S34" s="71"/>
      <c r="T34" s="71"/>
      <c r="U34" s="71"/>
      <c r="V34" s="71"/>
      <c r="W34" s="71"/>
    </row>
    <row r="35" spans="1:25" ht="16.5" thickBot="1" x14ac:dyDescent="0.3">
      <c r="A35" s="42" t="s">
        <v>92</v>
      </c>
      <c r="B35" s="139"/>
      <c r="C35" s="135"/>
      <c r="D35" s="56">
        <f>SUM(D33:D34)</f>
        <v>2303738.0930071203</v>
      </c>
      <c r="E35" s="58"/>
      <c r="F35" s="56">
        <f t="shared" ref="F35:L35" si="3">SUM(F33:F34)</f>
        <v>323683.84757645067</v>
      </c>
      <c r="G35" s="61"/>
      <c r="H35" s="56">
        <f>SUM(H33:H34)</f>
        <v>219976.67287097409</v>
      </c>
      <c r="I35" s="61"/>
      <c r="J35" s="56">
        <f t="shared" si="3"/>
        <v>29755.980703616158</v>
      </c>
      <c r="K35" s="61"/>
      <c r="L35" s="56">
        <f t="shared" si="3"/>
        <v>227359.80169375191</v>
      </c>
      <c r="M35" s="43">
        <f>SUM(M33:M34)</f>
        <v>3104514.3958519129</v>
      </c>
      <c r="O35" s="71"/>
      <c r="P35" s="70"/>
      <c r="Q35" s="71"/>
      <c r="R35" s="71"/>
      <c r="S35" s="71"/>
      <c r="T35" s="71"/>
      <c r="U35" s="71"/>
      <c r="V35" s="71"/>
      <c r="W35" s="71"/>
    </row>
    <row r="36" spans="1:25" x14ac:dyDescent="0.25">
      <c r="O36" s="71"/>
      <c r="P36" s="70"/>
      <c r="Q36" s="71"/>
      <c r="R36" s="71"/>
      <c r="S36" s="71"/>
      <c r="T36" s="71"/>
      <c r="U36" s="71"/>
      <c r="V36" s="71"/>
      <c r="W36" s="71"/>
    </row>
    <row r="37" spans="1:25" x14ac:dyDescent="0.25">
      <c r="K37" s="64"/>
      <c r="L37" s="64"/>
      <c r="M37" s="41"/>
      <c r="O37" s="71"/>
      <c r="P37" s="70"/>
      <c r="Q37" s="71"/>
      <c r="R37" s="71"/>
      <c r="S37" s="71"/>
      <c r="T37" s="71"/>
      <c r="U37" s="71"/>
      <c r="V37" s="71"/>
      <c r="W37" s="71"/>
    </row>
    <row r="38" spans="1:25" x14ac:dyDescent="0.25">
      <c r="K38" s="41"/>
      <c r="L38" s="41"/>
      <c r="M38" s="41"/>
      <c r="O38" s="71"/>
      <c r="P38" s="70"/>
      <c r="Q38" s="71"/>
      <c r="R38" s="71"/>
      <c r="S38" s="71"/>
      <c r="T38" s="71"/>
      <c r="U38" s="71"/>
      <c r="V38" s="71"/>
      <c r="W38" s="71"/>
    </row>
    <row r="39" spans="1:25" x14ac:dyDescent="0.25">
      <c r="K39" s="41"/>
      <c r="L39" s="41"/>
      <c r="R39" s="71"/>
      <c r="S39" s="71"/>
      <c r="T39" s="71"/>
      <c r="U39" s="71"/>
      <c r="V39" s="71"/>
      <c r="W39" s="71"/>
    </row>
    <row r="40" spans="1:25" x14ac:dyDescent="0.25">
      <c r="K40" s="41"/>
      <c r="L40" s="41"/>
      <c r="R40" s="71"/>
      <c r="S40" s="71"/>
      <c r="T40" s="71"/>
      <c r="U40" s="71"/>
      <c r="V40" s="71"/>
      <c r="W40" s="71"/>
    </row>
    <row r="41" spans="1:25" x14ac:dyDescent="0.25">
      <c r="K41" s="41"/>
      <c r="L41" s="41"/>
      <c r="R41" s="71"/>
      <c r="S41" s="71"/>
      <c r="T41" s="71"/>
      <c r="U41" s="71"/>
      <c r="V41" s="71"/>
      <c r="W41" s="71"/>
    </row>
    <row r="42" spans="1:25" x14ac:dyDescent="0.25">
      <c r="K42" s="41"/>
      <c r="L42" s="41"/>
      <c r="O42" s="120"/>
      <c r="R42" s="71"/>
      <c r="S42" s="71"/>
      <c r="T42" s="71"/>
      <c r="U42" s="71"/>
      <c r="V42" s="71"/>
      <c r="W42" s="71"/>
    </row>
    <row r="43" spans="1:25" ht="15.75" x14ac:dyDescent="0.25">
      <c r="K43" s="41"/>
      <c r="L43" s="41"/>
      <c r="O43" s="68"/>
      <c r="R43" s="71"/>
      <c r="S43" s="71"/>
      <c r="T43" s="71"/>
      <c r="U43" s="71"/>
      <c r="V43" s="71"/>
      <c r="W43" s="71"/>
    </row>
    <row r="44" spans="1:25" ht="15.75" x14ac:dyDescent="0.25">
      <c r="K44" s="41"/>
      <c r="L44" s="41"/>
      <c r="O44" s="68"/>
      <c r="P44" s="71"/>
      <c r="Q44" s="71"/>
      <c r="R44" s="71"/>
      <c r="S44" s="71"/>
      <c r="T44" s="71"/>
      <c r="U44" s="71"/>
      <c r="V44" s="71"/>
      <c r="W44" s="71"/>
    </row>
    <row r="45" spans="1:25" s="21" customFormat="1" ht="15.75" x14ac:dyDescent="0.25">
      <c r="A45"/>
      <c r="B45"/>
      <c r="C45"/>
      <c r="D45"/>
      <c r="E45"/>
      <c r="F45"/>
      <c r="G45"/>
      <c r="H45"/>
      <c r="I45"/>
      <c r="J45"/>
      <c r="K45" s="41"/>
      <c r="L45" s="41"/>
      <c r="M45"/>
      <c r="N45"/>
      <c r="O45" s="68"/>
      <c r="P45" s="73"/>
      <c r="Q45" s="72"/>
      <c r="R45" s="72"/>
      <c r="S45" s="72"/>
      <c r="T45" s="72"/>
      <c r="U45" s="72"/>
      <c r="V45" s="72"/>
      <c r="W45" s="72"/>
      <c r="Y45" s="164"/>
    </row>
    <row r="46" spans="1:25" s="21" customFormat="1" ht="15.75" x14ac:dyDescent="0.25">
      <c r="A46"/>
      <c r="B46"/>
      <c r="C46"/>
      <c r="D46"/>
      <c r="E46"/>
      <c r="F46"/>
      <c r="G46"/>
      <c r="H46"/>
      <c r="I46"/>
      <c r="J46"/>
      <c r="K46" s="41"/>
      <c r="L46" s="41"/>
      <c r="M46"/>
      <c r="N46"/>
      <c r="O46" s="68"/>
      <c r="P46" s="72"/>
      <c r="Q46" s="72"/>
      <c r="R46" s="72"/>
      <c r="S46" s="72"/>
      <c r="T46" s="72"/>
      <c r="U46" s="72"/>
      <c r="V46" s="72"/>
      <c r="W46" s="72"/>
      <c r="Y46" s="164"/>
    </row>
    <row r="47" spans="1:25" s="21" customFormat="1" ht="15.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 s="68"/>
      <c r="P47" s="72"/>
      <c r="Q47" s="72"/>
      <c r="R47" s="72"/>
      <c r="S47" s="72"/>
      <c r="T47" s="72"/>
      <c r="U47" s="72"/>
      <c r="V47" s="72"/>
      <c r="W47" s="72"/>
      <c r="Y47" s="164"/>
    </row>
    <row r="48" spans="1:25" s="21" customFormat="1" ht="15.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68"/>
      <c r="P48" s="73"/>
      <c r="Q48" s="72"/>
      <c r="R48" s="72"/>
      <c r="S48" s="72"/>
      <c r="T48" s="72"/>
      <c r="U48" s="72"/>
      <c r="V48" s="72"/>
      <c r="W48" s="72"/>
      <c r="Y48" s="164"/>
    </row>
    <row r="49" spans="1:25" s="21" customFormat="1" ht="15.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 s="72"/>
      <c r="P49" s="72"/>
      <c r="Q49" s="72"/>
      <c r="R49" s="72"/>
      <c r="S49" s="72"/>
      <c r="T49" s="72"/>
      <c r="U49" s="72"/>
      <c r="V49" s="72"/>
      <c r="W49" s="72"/>
      <c r="Y49" s="164"/>
    </row>
    <row r="50" spans="1:25" s="21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 s="68"/>
      <c r="P50" s="72"/>
      <c r="Q50" s="72"/>
      <c r="R50" s="72"/>
      <c r="S50" s="72"/>
      <c r="T50" s="72"/>
      <c r="U50" s="72"/>
      <c r="V50" s="72"/>
      <c r="W50" s="72"/>
      <c r="Y50" s="164"/>
    </row>
    <row r="51" spans="1:25" s="21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 s="72"/>
      <c r="P51" s="72"/>
      <c r="Q51" s="143"/>
      <c r="R51" s="72"/>
      <c r="S51" s="72"/>
      <c r="T51" s="72"/>
      <c r="U51" s="72"/>
      <c r="V51" s="72"/>
      <c r="W51" s="72"/>
      <c r="Y51" s="164"/>
    </row>
    <row r="52" spans="1:25" s="21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 s="72"/>
      <c r="P52" s="68"/>
      <c r="Q52" s="72"/>
      <c r="R52" s="72"/>
      <c r="S52" s="72"/>
      <c r="T52" s="72"/>
      <c r="U52" s="72"/>
      <c r="V52" s="72"/>
      <c r="W52" s="72"/>
      <c r="Y52" s="164"/>
    </row>
    <row r="53" spans="1:25" s="22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P53" s="73"/>
      <c r="Q53" s="73"/>
      <c r="R53" s="74"/>
      <c r="S53" s="74"/>
      <c r="T53" s="74"/>
      <c r="U53" s="74"/>
      <c r="V53" s="74"/>
      <c r="W53" s="74"/>
      <c r="Y53" s="165"/>
    </row>
    <row r="54" spans="1:25" s="21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68"/>
      <c r="P54" s="72"/>
      <c r="Q54" s="72"/>
      <c r="R54" s="72"/>
      <c r="S54" s="72"/>
      <c r="T54" s="72"/>
      <c r="U54" s="72"/>
      <c r="V54" s="72"/>
      <c r="W54" s="72"/>
      <c r="Y54" s="164"/>
    </row>
    <row r="55" spans="1:25" s="21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25"/>
      <c r="P55" s="72"/>
      <c r="Q55" s="72"/>
      <c r="R55" s="72"/>
      <c r="S55" s="72"/>
      <c r="T55" s="72"/>
      <c r="U55" s="72"/>
      <c r="V55" s="72"/>
      <c r="W55" s="72"/>
      <c r="Y55" s="164"/>
    </row>
    <row r="56" spans="1:25" s="22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74"/>
      <c r="P56" s="74"/>
      <c r="Q56" s="74"/>
      <c r="R56" s="74"/>
      <c r="S56" s="74"/>
      <c r="T56" s="74"/>
      <c r="U56" s="74"/>
      <c r="V56" s="74"/>
      <c r="W56" s="74"/>
      <c r="Y56" s="165"/>
    </row>
    <row r="57" spans="1:25" x14ac:dyDescent="0.25">
      <c r="O57" s="71"/>
      <c r="P57" s="71"/>
      <c r="Q57" s="71"/>
      <c r="R57" s="71"/>
      <c r="S57" s="71"/>
      <c r="T57" s="71"/>
      <c r="U57" s="71"/>
      <c r="V57" s="71"/>
      <c r="W57" s="71"/>
    </row>
    <row r="58" spans="1:25" x14ac:dyDescent="0.25">
      <c r="O58" s="65"/>
      <c r="P58" s="71"/>
      <c r="Q58" s="71"/>
      <c r="R58" s="71"/>
      <c r="S58" s="71"/>
      <c r="T58" s="71"/>
      <c r="U58" s="71"/>
      <c r="V58" s="71"/>
      <c r="W58" s="71"/>
    </row>
    <row r="59" spans="1:25" x14ac:dyDescent="0.25">
      <c r="O59" s="65"/>
      <c r="P59" s="71"/>
      <c r="Q59" s="71"/>
      <c r="R59" s="71"/>
      <c r="S59" s="71"/>
      <c r="T59" s="71"/>
      <c r="U59" s="71"/>
      <c r="V59" s="71"/>
      <c r="W59" s="71"/>
    </row>
    <row r="60" spans="1:25" x14ac:dyDescent="0.25">
      <c r="O60" s="65"/>
      <c r="P60" s="71"/>
      <c r="Q60" s="71"/>
      <c r="R60" s="71"/>
      <c r="S60" s="71"/>
      <c r="T60" s="71"/>
      <c r="U60" s="71"/>
      <c r="V60" s="71"/>
      <c r="W60" s="71"/>
    </row>
    <row r="61" spans="1:25" s="10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 s="65"/>
      <c r="P61" s="70"/>
      <c r="Q61" s="70"/>
      <c r="R61" s="70"/>
      <c r="S61" s="70"/>
      <c r="T61" s="70"/>
      <c r="U61" s="70"/>
      <c r="V61" s="70"/>
      <c r="W61" s="70"/>
      <c r="Y61" s="166"/>
    </row>
    <row r="62" spans="1:25" x14ac:dyDescent="0.25">
      <c r="O62" s="65"/>
      <c r="P62" s="71"/>
      <c r="Q62" s="71"/>
      <c r="R62" s="71"/>
      <c r="S62" s="71"/>
      <c r="T62" s="71"/>
      <c r="U62" s="71"/>
      <c r="V62" s="71"/>
      <c r="W62" s="71"/>
    </row>
    <row r="63" spans="1:25" s="10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 s="75"/>
      <c r="P63" s="75"/>
      <c r="Q63" s="70"/>
      <c r="R63" s="70"/>
      <c r="S63" s="70"/>
      <c r="T63" s="70"/>
      <c r="U63" s="70"/>
      <c r="V63" s="70"/>
      <c r="W63" s="70"/>
      <c r="Y63" s="166"/>
    </row>
    <row r="64" spans="1:25" x14ac:dyDescent="0.25">
      <c r="O64" s="71"/>
      <c r="P64" s="71"/>
      <c r="Q64" s="71"/>
      <c r="R64" s="71"/>
      <c r="S64" s="71"/>
      <c r="T64" s="71"/>
      <c r="U64" s="71"/>
      <c r="V64" s="71"/>
      <c r="W64" s="71"/>
    </row>
    <row r="65" spans="15:23" x14ac:dyDescent="0.25">
      <c r="O65" s="71"/>
      <c r="P65" s="71"/>
      <c r="Q65" s="71"/>
      <c r="R65" s="71"/>
      <c r="S65" s="71"/>
      <c r="T65" s="71"/>
      <c r="U65" s="71"/>
      <c r="V65" s="71"/>
      <c r="W65" s="71"/>
    </row>
    <row r="66" spans="15:23" x14ac:dyDescent="0.25">
      <c r="O66" s="71"/>
      <c r="P66" s="71"/>
      <c r="Q66" s="71"/>
      <c r="R66" s="71"/>
      <c r="S66" s="71"/>
      <c r="T66" s="71"/>
      <c r="U66" s="71"/>
      <c r="V66" s="71"/>
      <c r="W66" s="71"/>
    </row>
    <row r="67" spans="15:23" x14ac:dyDescent="0.25">
      <c r="O67" s="71"/>
      <c r="P67" s="71"/>
      <c r="Q67" s="71"/>
      <c r="R67" s="71"/>
      <c r="S67" s="71"/>
      <c r="T67" s="71"/>
      <c r="U67" s="71"/>
      <c r="V67" s="71"/>
      <c r="W67" s="71"/>
    </row>
    <row r="68" spans="15:23" x14ac:dyDescent="0.25">
      <c r="O68" s="71"/>
      <c r="P68" s="71"/>
      <c r="Q68" s="71"/>
      <c r="R68" s="71"/>
      <c r="S68" s="71"/>
      <c r="T68" s="71"/>
      <c r="U68" s="71"/>
      <c r="V68" s="71"/>
      <c r="W68" s="71"/>
    </row>
    <row r="69" spans="15:23" x14ac:dyDescent="0.25">
      <c r="O69" s="71"/>
      <c r="P69" s="71"/>
      <c r="Q69" s="71"/>
      <c r="R69" s="71"/>
      <c r="S69" s="71"/>
      <c r="T69" s="71"/>
      <c r="U69" s="71"/>
      <c r="V69" s="71"/>
      <c r="W69" s="71"/>
    </row>
    <row r="70" spans="15:23" x14ac:dyDescent="0.25">
      <c r="O70" s="71"/>
      <c r="P70" s="71"/>
      <c r="Q70" s="71"/>
      <c r="R70" s="71"/>
      <c r="S70" s="71"/>
      <c r="T70" s="71"/>
      <c r="U70" s="71"/>
      <c r="V70" s="71"/>
      <c r="W70" s="71"/>
    </row>
    <row r="71" spans="15:23" x14ac:dyDescent="0.25">
      <c r="O71" s="71"/>
      <c r="P71" s="71"/>
      <c r="Q71" s="71"/>
      <c r="R71" s="71"/>
      <c r="S71" s="71"/>
      <c r="T71" s="71"/>
      <c r="U71" s="71"/>
      <c r="V71" s="71"/>
      <c r="W71" s="71"/>
    </row>
    <row r="72" spans="15:23" x14ac:dyDescent="0.25">
      <c r="O72" s="71"/>
      <c r="P72" s="71"/>
      <c r="Q72" s="71"/>
      <c r="R72" s="71"/>
      <c r="S72" s="71"/>
      <c r="T72" s="71"/>
      <c r="U72" s="71"/>
      <c r="V72" s="71"/>
      <c r="W72" s="71"/>
    </row>
    <row r="73" spans="15:23" x14ac:dyDescent="0.25">
      <c r="O73" s="71"/>
      <c r="P73" s="71"/>
      <c r="Q73" s="71"/>
      <c r="R73" s="71"/>
      <c r="S73" s="71"/>
      <c r="T73" s="71"/>
      <c r="U73" s="71"/>
      <c r="V73" s="71"/>
      <c r="W73" s="71"/>
    </row>
    <row r="74" spans="15:23" x14ac:dyDescent="0.25">
      <c r="O74" s="71"/>
      <c r="P74" s="71"/>
      <c r="Q74" s="71"/>
      <c r="R74" s="71"/>
      <c r="S74" s="71"/>
      <c r="T74" s="71"/>
      <c r="U74" s="71"/>
      <c r="V74" s="71"/>
      <c r="W74" s="71"/>
    </row>
    <row r="75" spans="15:23" x14ac:dyDescent="0.25">
      <c r="O75" s="69"/>
      <c r="P75" s="71"/>
      <c r="Q75" s="71"/>
      <c r="R75" s="71"/>
      <c r="S75" s="71"/>
      <c r="T75" s="71"/>
      <c r="U75" s="71"/>
      <c r="V75" s="71"/>
      <c r="W75" s="71"/>
    </row>
    <row r="76" spans="15:23" x14ac:dyDescent="0.25">
      <c r="O76" s="69"/>
      <c r="P76" s="71"/>
      <c r="Q76" s="71"/>
      <c r="R76" s="71"/>
      <c r="S76" s="71"/>
      <c r="T76" s="71"/>
      <c r="U76" s="71"/>
      <c r="V76" s="71"/>
      <c r="W76" s="71"/>
    </row>
    <row r="77" spans="15:23" x14ac:dyDescent="0.25">
      <c r="O77" s="71"/>
      <c r="P77" s="71"/>
      <c r="Q77" s="71"/>
      <c r="R77" s="71"/>
      <c r="S77" s="71"/>
      <c r="T77" s="71"/>
      <c r="U77" s="71"/>
      <c r="V77" s="71"/>
      <c r="W77" s="71"/>
    </row>
    <row r="78" spans="15:23" x14ac:dyDescent="0.25">
      <c r="O78" s="71"/>
      <c r="P78" s="71"/>
      <c r="Q78" s="71"/>
      <c r="R78" s="71"/>
      <c r="S78" s="71"/>
      <c r="T78" s="71"/>
      <c r="U78" s="71"/>
      <c r="V78" s="71"/>
      <c r="W78" s="71"/>
    </row>
  </sheetData>
  <mergeCells count="4">
    <mergeCell ref="A1:C1"/>
    <mergeCell ref="E3:F3"/>
    <mergeCell ref="B5:L5"/>
    <mergeCell ref="B6:L6"/>
  </mergeCells>
  <conditionalFormatting sqref="O12:O13 O3:T3 O4:S6 T4:T9">
    <cfRule type="expression" dxfId="41" priority="35">
      <formula>AND($AR3&lt;&gt;"",$BA3="")</formula>
    </cfRule>
    <cfRule type="expression" dxfId="40" priority="36">
      <formula>$AR3&lt;&gt;""</formula>
    </cfRule>
  </conditionalFormatting>
  <conditionalFormatting sqref="O14">
    <cfRule type="expression" dxfId="39" priority="31">
      <formula>AND($AR16&lt;&gt;"",$BA16="")</formula>
    </cfRule>
    <cfRule type="expression" dxfId="38" priority="32">
      <formula>$AR16&lt;&gt;""</formula>
    </cfRule>
  </conditionalFormatting>
  <conditionalFormatting sqref="O18">
    <cfRule type="expression" dxfId="37" priority="29">
      <formula>AND($AR40&lt;&gt;"",$BA40="")</formula>
    </cfRule>
    <cfRule type="expression" dxfId="36" priority="30">
      <formula>$AR40&lt;&gt;""</formula>
    </cfRule>
  </conditionalFormatting>
  <conditionalFormatting sqref="O7:S7">
    <cfRule type="expression" dxfId="35" priority="47">
      <formula>AND($AR6&lt;&gt;"",$BA6="")</formula>
    </cfRule>
    <cfRule type="expression" dxfId="34" priority="48">
      <formula>$AR6&lt;&gt;""</formula>
    </cfRule>
  </conditionalFormatting>
  <conditionalFormatting sqref="AB16:AB17 Y16:Z17 AD16:AD17">
    <cfRule type="expression" dxfId="33" priority="51">
      <formula>AND($AR7&lt;&gt;"",$BA7="")</formula>
    </cfRule>
    <cfRule type="expression" dxfId="32" priority="52">
      <formula>$AR7&lt;&gt;""</formula>
    </cfRule>
  </conditionalFormatting>
  <conditionalFormatting sqref="O9">
    <cfRule type="expression" dxfId="31" priority="53">
      <formula>AND($AR9&lt;&gt;"",$BA9="")</formula>
    </cfRule>
    <cfRule type="expression" dxfId="30" priority="54">
      <formula>$AR9&lt;&gt;""</formula>
    </cfRule>
  </conditionalFormatting>
  <conditionalFormatting sqref="O8">
    <cfRule type="expression" dxfId="29" priority="23">
      <formula>AND($AR7&lt;&gt;"",$BA7="")</formula>
    </cfRule>
    <cfRule type="expression" dxfId="28" priority="24">
      <formula>$AR7&lt;&gt;""</formula>
    </cfRule>
  </conditionalFormatting>
  <conditionalFormatting sqref="P8:S8">
    <cfRule type="expression" dxfId="27" priority="19">
      <formula>AND($AR7&lt;&gt;"",$BA7="")</formula>
    </cfRule>
    <cfRule type="expression" dxfId="26" priority="20">
      <formula>$AR7&lt;&gt;""</formula>
    </cfRule>
  </conditionalFormatting>
  <conditionalFormatting sqref="O16">
    <cfRule type="expression" dxfId="25" priority="9">
      <formula>AND($AR18&lt;&gt;"",$BA18="")</formula>
    </cfRule>
    <cfRule type="expression" dxfId="24" priority="10">
      <formula>$AR18&lt;&gt;""</formula>
    </cfRule>
  </conditionalFormatting>
  <conditionalFormatting sqref="V3:V9">
    <cfRule type="expression" dxfId="23" priority="7">
      <formula>AND($AR3&lt;&gt;"",$BA3="")</formula>
    </cfRule>
    <cfRule type="expression" dxfId="22" priority="8">
      <formula>$AR3&lt;&gt;""</formula>
    </cfRule>
  </conditionalFormatting>
  <conditionalFormatting sqref="O15">
    <cfRule type="expression" dxfId="21" priority="5">
      <formula>AND($AR17&lt;&gt;"",$BA17="")</formula>
    </cfRule>
    <cfRule type="expression" dxfId="20" priority="6">
      <formula>$AR17&lt;&gt;""</formula>
    </cfRule>
  </conditionalFormatting>
  <conditionalFormatting sqref="O17">
    <cfRule type="expression" dxfId="19" priority="3">
      <formula>AND($AR19&lt;&gt;"",$BA19="")</formula>
    </cfRule>
    <cfRule type="expression" dxfId="18" priority="4">
      <formula>$AR19&lt;&gt;""</formula>
    </cfRule>
  </conditionalFormatting>
  <conditionalFormatting sqref="O19">
    <cfRule type="expression" dxfId="17" priority="1">
      <formula>AND($AR41&lt;&gt;"",$BA41="")</formula>
    </cfRule>
    <cfRule type="expression" dxfId="16" priority="2">
      <formula>$AR41&lt;&gt;""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EF2C0-DF87-403C-B107-4C0B31BF03B4}">
  <dimension ref="A1:W52"/>
  <sheetViews>
    <sheetView zoomScale="80" zoomScaleNormal="80" workbookViewId="0"/>
  </sheetViews>
  <sheetFormatPr defaultRowHeight="15" x14ac:dyDescent="0.25"/>
  <cols>
    <col min="1" max="1" width="41" customWidth="1"/>
    <col min="2" max="2" width="15.85546875" bestFit="1" customWidth="1"/>
    <col min="3" max="3" width="15.42578125" bestFit="1" customWidth="1"/>
    <col min="4" max="4" width="14.7109375" bestFit="1" customWidth="1"/>
    <col min="5" max="5" width="17.28515625" bestFit="1" customWidth="1"/>
    <col min="6" max="7" width="21.140625" customWidth="1"/>
    <col min="8" max="8" width="39.5703125" bestFit="1" customWidth="1"/>
    <col min="9" max="9" width="18.5703125" bestFit="1" customWidth="1"/>
    <col min="10" max="10" width="26.5703125" bestFit="1" customWidth="1"/>
    <col min="11" max="11" width="24.7109375" bestFit="1" customWidth="1"/>
    <col min="12" max="12" width="23" bestFit="1" customWidth="1"/>
    <col min="13" max="14" width="11.5703125" customWidth="1"/>
    <col min="15" max="15" width="18.42578125" bestFit="1" customWidth="1"/>
    <col min="16" max="16" width="17.5703125" bestFit="1" customWidth="1"/>
    <col min="17" max="17" width="16" bestFit="1" customWidth="1"/>
    <col min="18" max="18" width="17.5703125" bestFit="1" customWidth="1"/>
    <col min="19" max="19" width="18.42578125" bestFit="1" customWidth="1"/>
    <col min="20" max="20" width="17.5703125" bestFit="1" customWidth="1"/>
    <col min="21" max="21" width="16" bestFit="1" customWidth="1"/>
    <col min="22" max="22" width="17.5703125" bestFit="1" customWidth="1"/>
  </cols>
  <sheetData>
    <row r="1" spans="1:23" ht="15.75" x14ac:dyDescent="0.25">
      <c r="A1" s="22" t="s">
        <v>67</v>
      </c>
    </row>
    <row r="2" spans="1:23" x14ac:dyDescent="0.25">
      <c r="H2" s="258" t="s">
        <v>6</v>
      </c>
      <c r="I2" s="258" t="s">
        <v>7</v>
      </c>
      <c r="J2" s="258" t="s">
        <v>8</v>
      </c>
      <c r="K2" s="258" t="s">
        <v>9</v>
      </c>
      <c r="L2" s="258" t="s">
        <v>119</v>
      </c>
      <c r="M2" s="258" t="s">
        <v>5</v>
      </c>
      <c r="N2" s="258" t="s">
        <v>120</v>
      </c>
      <c r="O2" s="258" t="s">
        <v>127</v>
      </c>
      <c r="P2" s="258" t="s">
        <v>130</v>
      </c>
      <c r="Q2" s="258" t="s">
        <v>131</v>
      </c>
      <c r="R2" s="258" t="s">
        <v>132</v>
      </c>
    </row>
    <row r="3" spans="1:23" ht="15.75" thickBot="1" x14ac:dyDescent="0.3">
      <c r="B3" s="238"/>
      <c r="C3" s="238"/>
      <c r="D3" s="238"/>
      <c r="E3" s="238"/>
      <c r="F3" s="238"/>
      <c r="H3" s="259" t="s">
        <v>10</v>
      </c>
      <c r="I3" s="260">
        <v>1236.8999999999996</v>
      </c>
      <c r="J3" s="260">
        <v>0</v>
      </c>
      <c r="K3" s="260">
        <v>307.249373881932</v>
      </c>
      <c r="L3" s="260">
        <v>0</v>
      </c>
      <c r="M3" s="260">
        <v>1544.1493738819318</v>
      </c>
      <c r="N3" s="261">
        <v>0.74791696884720127</v>
      </c>
      <c r="O3" s="269">
        <v>0</v>
      </c>
      <c r="P3" s="266">
        <f>O3/$O$8</f>
        <v>0</v>
      </c>
      <c r="Q3" s="267">
        <f>M3</f>
        <v>1544.1493738819318</v>
      </c>
      <c r="R3" s="266">
        <f>Q3/$Q$8</f>
        <v>0.81627766625773912</v>
      </c>
    </row>
    <row r="4" spans="1:23" x14ac:dyDescent="0.25">
      <c r="A4" s="290" t="s">
        <v>6</v>
      </c>
      <c r="B4" s="291" t="s">
        <v>116</v>
      </c>
      <c r="C4" s="291" t="s">
        <v>126</v>
      </c>
      <c r="D4" s="291" t="s">
        <v>117</v>
      </c>
      <c r="E4" s="292" t="s">
        <v>129</v>
      </c>
      <c r="F4" s="238"/>
      <c r="H4" s="259" t="s">
        <v>17</v>
      </c>
      <c r="I4" s="260">
        <v>106</v>
      </c>
      <c r="J4" s="260">
        <v>61.768177028450999</v>
      </c>
      <c r="K4" s="260">
        <v>26.330692563250711</v>
      </c>
      <c r="L4" s="260">
        <v>0</v>
      </c>
      <c r="M4" s="260">
        <v>194.09886959170171</v>
      </c>
      <c r="N4" s="261">
        <v>9.4012820687640081E-2</v>
      </c>
      <c r="O4" s="267">
        <f>M4</f>
        <v>194.09886959170171</v>
      </c>
      <c r="P4" s="266">
        <f>O4/$O$8</f>
        <v>0.55848261327713378</v>
      </c>
      <c r="Q4" s="267">
        <f t="shared" ref="Q4:Q6" si="0">M4</f>
        <v>194.09886959170171</v>
      </c>
      <c r="R4" s="266">
        <f>Q4/$Q$8</f>
        <v>0.10260572906575163</v>
      </c>
    </row>
    <row r="5" spans="1:23" x14ac:dyDescent="0.25">
      <c r="A5" s="84" t="s">
        <v>10</v>
      </c>
      <c r="B5" s="207">
        <v>143407.72</v>
      </c>
      <c r="C5" s="207">
        <f>$C$10*P3</f>
        <v>0</v>
      </c>
      <c r="D5" s="207">
        <f>$D$10*R3</f>
        <v>1001.3931154116693</v>
      </c>
      <c r="E5" s="298">
        <f>SUM(B5:D5)</f>
        <v>144409.11311541166</v>
      </c>
      <c r="H5" s="259" t="s">
        <v>19</v>
      </c>
      <c r="I5" s="260">
        <v>72.900000000000006</v>
      </c>
      <c r="J5" s="260">
        <v>42.480189673340362</v>
      </c>
      <c r="K5" s="260">
        <v>18.108561206235631</v>
      </c>
      <c r="L5" s="260">
        <v>0</v>
      </c>
      <c r="M5" s="260">
        <v>133.488750879576</v>
      </c>
      <c r="N5" s="261">
        <v>6.4655987057820399E-2</v>
      </c>
      <c r="O5" s="267">
        <f t="shared" ref="O5:O6" si="1">M5</f>
        <v>133.488750879576</v>
      </c>
      <c r="P5" s="266">
        <f>O5/$O$8</f>
        <v>0.38408851422550055</v>
      </c>
      <c r="Q5" s="267">
        <f t="shared" si="0"/>
        <v>133.488750879576</v>
      </c>
      <c r="R5" s="266">
        <f>Q5/$Q$8</f>
        <v>7.0565638197106553E-2</v>
      </c>
    </row>
    <row r="6" spans="1:23" x14ac:dyDescent="0.25">
      <c r="A6" s="84" t="s">
        <v>17</v>
      </c>
      <c r="B6" s="207">
        <v>11265.56</v>
      </c>
      <c r="C6" s="207">
        <f>$C$10*P4</f>
        <v>3643.3060063224443</v>
      </c>
      <c r="D6" s="207">
        <f>$D$10*R4</f>
        <v>125.8746563032828</v>
      </c>
      <c r="E6" s="298">
        <f t="shared" ref="E6:E9" si="2">SUM(B6:D6)</f>
        <v>15034.740662625727</v>
      </c>
      <c r="H6" s="259" t="s">
        <v>101</v>
      </c>
      <c r="I6" s="260">
        <v>10.9</v>
      </c>
      <c r="J6" s="260">
        <v>6.3516332982086414</v>
      </c>
      <c r="K6" s="260">
        <v>2.7075900843342713</v>
      </c>
      <c r="L6" s="260">
        <v>0</v>
      </c>
      <c r="M6" s="260">
        <v>19.959223382542913</v>
      </c>
      <c r="N6" s="261">
        <v>9.6673560895780847E-3</v>
      </c>
      <c r="O6" s="267">
        <f t="shared" si="1"/>
        <v>19.959223382542913</v>
      </c>
      <c r="P6" s="266">
        <f>O6/$O$8</f>
        <v>5.7428872497365648E-2</v>
      </c>
      <c r="Q6" s="267">
        <f t="shared" si="0"/>
        <v>19.959223382542913</v>
      </c>
      <c r="R6" s="266">
        <f>Q6/$Q$8</f>
        <v>1.0550966479402762E-2</v>
      </c>
    </row>
    <row r="7" spans="1:23" x14ac:dyDescent="0.25">
      <c r="A7" s="84" t="s">
        <v>19</v>
      </c>
      <c r="B7" s="207">
        <v>13736.36</v>
      </c>
      <c r="C7" s="207">
        <f>$C$10*P5</f>
        <v>2505.6321496311907</v>
      </c>
      <c r="D7" s="207">
        <f>$D$10*R5</f>
        <v>86.568513627446393</v>
      </c>
      <c r="E7" s="298">
        <f t="shared" si="2"/>
        <v>16328.560663258637</v>
      </c>
      <c r="H7" s="263" t="s">
        <v>102</v>
      </c>
      <c r="I7" s="264">
        <v>138.5</v>
      </c>
      <c r="J7" s="264">
        <v>1.4210854715202004E-14</v>
      </c>
      <c r="K7" s="264">
        <v>34.40378226424739</v>
      </c>
      <c r="L7" s="264">
        <v>0</v>
      </c>
      <c r="M7" s="264">
        <v>172.90378226424738</v>
      </c>
      <c r="N7" s="265">
        <v>8.3746867317760043E-2</v>
      </c>
      <c r="O7" s="270">
        <v>0</v>
      </c>
      <c r="P7" s="266">
        <f>O7/$O$8</f>
        <v>0</v>
      </c>
      <c r="Q7" s="272">
        <v>0</v>
      </c>
      <c r="R7" s="266">
        <f>Q7/$Q$8</f>
        <v>0</v>
      </c>
    </row>
    <row r="8" spans="1:23" x14ac:dyDescent="0.25">
      <c r="A8" s="84" t="s">
        <v>101</v>
      </c>
      <c r="B8" s="207">
        <v>1311.27</v>
      </c>
      <c r="C8" s="207">
        <f>$C$10*P6</f>
        <v>374.64184404636461</v>
      </c>
      <c r="D8" s="207">
        <f>$D$10*R6</f>
        <v>12.943714657601722</v>
      </c>
      <c r="E8" s="298">
        <f t="shared" si="2"/>
        <v>1698.8555587039664</v>
      </c>
      <c r="H8" s="263" t="s">
        <v>11</v>
      </c>
      <c r="I8" s="264">
        <v>1565.1999999999998</v>
      </c>
      <c r="J8" s="264">
        <v>110.60000000000001</v>
      </c>
      <c r="K8" s="264">
        <v>388.8</v>
      </c>
      <c r="L8" s="264">
        <v>0</v>
      </c>
      <c r="M8" s="264">
        <f t="shared" ref="M8:N8" si="3">SUM(M3:M7)</f>
        <v>2064.5999999999995</v>
      </c>
      <c r="N8" s="265">
        <f t="shared" si="3"/>
        <v>0.99999999999999989</v>
      </c>
      <c r="O8" s="268">
        <f>SUM(O3:O7)</f>
        <v>347.54684385382063</v>
      </c>
      <c r="P8" s="271">
        <f>SUM(P3:P7)</f>
        <v>0.99999999999999989</v>
      </c>
      <c r="Q8" s="273">
        <f t="shared" ref="Q8:R8" si="4">SUM(Q3:Q7)</f>
        <v>1891.6962177357523</v>
      </c>
      <c r="R8" s="271">
        <f t="shared" si="4"/>
        <v>1</v>
      </c>
      <c r="W8" s="10"/>
    </row>
    <row r="9" spans="1:23" x14ac:dyDescent="0.25">
      <c r="A9" s="84" t="s">
        <v>102</v>
      </c>
      <c r="B9" s="207">
        <v>0</v>
      </c>
      <c r="C9" s="207">
        <f>$C$10*P7</f>
        <v>0</v>
      </c>
      <c r="D9" s="207">
        <f>$D$10*R7</f>
        <v>0</v>
      </c>
      <c r="E9" s="298">
        <f t="shared" si="2"/>
        <v>0</v>
      </c>
      <c r="H9" s="259" t="s">
        <v>103</v>
      </c>
      <c r="I9" s="260" t="s">
        <v>104</v>
      </c>
      <c r="J9" s="260" t="s">
        <v>104</v>
      </c>
      <c r="K9" s="260" t="s">
        <v>104</v>
      </c>
      <c r="L9" s="260" t="s">
        <v>104</v>
      </c>
      <c r="M9" s="260">
        <v>0</v>
      </c>
      <c r="N9" s="261" t="s">
        <v>104</v>
      </c>
      <c r="O9" s="11"/>
      <c r="P9" s="11"/>
      <c r="Q9" s="11"/>
      <c r="R9" s="11"/>
      <c r="W9" s="10"/>
    </row>
    <row r="10" spans="1:23" ht="15.75" thickBot="1" x14ac:dyDescent="0.3">
      <c r="A10" s="295" t="s">
        <v>128</v>
      </c>
      <c r="B10" s="299">
        <f>SUM(B5:B9)</f>
        <v>169720.91</v>
      </c>
      <c r="C10" s="299">
        <v>6523.58</v>
      </c>
      <c r="D10" s="296">
        <v>1226.7800000000002</v>
      </c>
      <c r="E10" s="300">
        <f>SUM(E5:E9)</f>
        <v>177471.27</v>
      </c>
    </row>
    <row r="11" spans="1:23" x14ac:dyDescent="0.25">
      <c r="A11" s="262" t="s">
        <v>135</v>
      </c>
      <c r="B11" s="15"/>
      <c r="F11" s="15"/>
    </row>
    <row r="14" spans="1:23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23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23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5">
      <c r="A17" s="275"/>
      <c r="B17" s="275"/>
      <c r="C17" s="274"/>
      <c r="D17" s="274"/>
      <c r="E17" s="274"/>
      <c r="F17" s="275"/>
      <c r="G17" s="78"/>
      <c r="H17" s="78"/>
      <c r="I17" s="78"/>
      <c r="J17" s="78"/>
      <c r="K17" s="78"/>
    </row>
    <row r="18" spans="1:11" x14ac:dyDescent="0.25">
      <c r="A18" s="275"/>
      <c r="B18" s="239"/>
      <c r="C18" s="277"/>
      <c r="D18" s="277"/>
      <c r="E18" s="278"/>
      <c r="F18" s="275"/>
      <c r="G18" s="78"/>
      <c r="H18" s="78"/>
      <c r="I18" s="78"/>
      <c r="J18" s="78"/>
      <c r="K18" s="78"/>
    </row>
    <row r="19" spans="1:11" x14ac:dyDescent="0.25">
      <c r="A19" s="275"/>
      <c r="B19" s="239"/>
      <c r="C19" s="277"/>
      <c r="D19" s="277"/>
      <c r="E19" s="278"/>
      <c r="F19" s="275"/>
      <c r="G19" s="78"/>
      <c r="H19" s="78"/>
      <c r="I19" s="78"/>
      <c r="J19" s="78"/>
      <c r="K19" s="78"/>
    </row>
    <row r="20" spans="1:11" x14ac:dyDescent="0.25">
      <c r="A20" s="275"/>
      <c r="B20" s="239"/>
      <c r="C20" s="277"/>
      <c r="D20" s="277"/>
      <c r="E20" s="278"/>
      <c r="F20" s="275"/>
      <c r="G20" s="78"/>
      <c r="H20" s="78"/>
      <c r="I20" s="78"/>
      <c r="J20" s="78"/>
      <c r="K20" s="78"/>
    </row>
    <row r="21" spans="1:11" x14ac:dyDescent="0.25">
      <c r="A21" s="275"/>
      <c r="B21" s="239"/>
      <c r="C21" s="277"/>
      <c r="D21" s="277"/>
      <c r="E21" s="278"/>
      <c r="F21" s="275"/>
      <c r="G21" s="78"/>
      <c r="H21" s="78"/>
      <c r="I21" s="78"/>
      <c r="J21" s="78"/>
      <c r="K21" s="78"/>
    </row>
    <row r="22" spans="1:11" x14ac:dyDescent="0.25">
      <c r="A22" s="275"/>
      <c r="B22" s="239"/>
      <c r="C22" s="277"/>
      <c r="D22" s="277"/>
      <c r="E22" s="278"/>
      <c r="F22" s="275"/>
      <c r="G22" s="78"/>
      <c r="H22" s="78"/>
      <c r="I22" s="78"/>
      <c r="J22" s="78"/>
      <c r="K22" s="78"/>
    </row>
    <row r="23" spans="1:11" x14ac:dyDescent="0.25">
      <c r="A23" s="274"/>
      <c r="B23" s="278"/>
      <c r="C23" s="278"/>
      <c r="D23" s="278"/>
      <c r="E23" s="278"/>
      <c r="F23" s="275"/>
      <c r="G23" s="78"/>
      <c r="H23" s="78"/>
      <c r="I23" s="78"/>
      <c r="J23" s="78"/>
      <c r="K23" s="78"/>
    </row>
    <row r="24" spans="1:11" x14ac:dyDescent="0.25">
      <c r="A24" s="275"/>
      <c r="B24" s="275"/>
      <c r="C24" s="275"/>
      <c r="D24" s="275"/>
      <c r="E24" s="239"/>
      <c r="F24" s="275"/>
      <c r="G24" s="78"/>
      <c r="H24" s="78"/>
      <c r="I24" s="78"/>
      <c r="J24" s="78"/>
      <c r="K24" s="78"/>
    </row>
    <row r="25" spans="1:11" x14ac:dyDescent="0.25">
      <c r="A25" s="275"/>
      <c r="B25" s="239"/>
      <c r="C25" s="275"/>
      <c r="D25" s="275"/>
      <c r="E25" s="275"/>
      <c r="F25" s="275"/>
      <c r="G25" s="78"/>
      <c r="H25" s="78"/>
      <c r="I25" s="78"/>
      <c r="J25" s="78"/>
      <c r="K25" s="78"/>
    </row>
    <row r="26" spans="1:11" x14ac:dyDescent="0.25">
      <c r="A26" s="275"/>
      <c r="B26" s="239"/>
      <c r="C26" s="275"/>
      <c r="D26" s="275"/>
      <c r="E26" s="275"/>
      <c r="F26" s="275"/>
      <c r="G26" s="275"/>
      <c r="H26" s="78"/>
      <c r="I26" s="78"/>
      <c r="J26" s="78"/>
      <c r="K26" s="78"/>
    </row>
    <row r="27" spans="1:11" x14ac:dyDescent="0.25">
      <c r="A27" s="275"/>
      <c r="B27" s="275"/>
      <c r="C27" s="275"/>
      <c r="D27" s="275"/>
      <c r="E27" s="275"/>
      <c r="F27" s="275"/>
      <c r="G27" s="275"/>
      <c r="H27" s="78"/>
      <c r="I27" s="78"/>
      <c r="J27" s="78"/>
      <c r="K27" s="78"/>
    </row>
    <row r="28" spans="1:11" x14ac:dyDescent="0.25">
      <c r="A28" s="275"/>
      <c r="B28" s="275"/>
      <c r="C28" s="279"/>
      <c r="D28" s="279"/>
      <c r="E28" s="275"/>
      <c r="F28" s="275"/>
      <c r="G28" s="275"/>
      <c r="H28" s="78"/>
      <c r="I28" s="78"/>
      <c r="J28" s="78"/>
      <c r="K28" s="78"/>
    </row>
    <row r="29" spans="1:11" x14ac:dyDescent="0.25">
      <c r="A29" s="274"/>
      <c r="B29" s="274"/>
      <c r="C29" s="274"/>
      <c r="D29" s="274"/>
      <c r="E29" s="274"/>
      <c r="F29" s="275"/>
      <c r="G29" s="275"/>
      <c r="H29" s="78"/>
      <c r="I29" s="78"/>
      <c r="J29" s="78"/>
      <c r="K29" s="78"/>
    </row>
    <row r="30" spans="1:11" x14ac:dyDescent="0.25">
      <c r="A30" s="275"/>
      <c r="B30" s="280"/>
      <c r="C30" s="275"/>
      <c r="D30" s="281"/>
      <c r="E30" s="281"/>
      <c r="F30" s="275"/>
      <c r="G30" s="275"/>
      <c r="H30" s="78"/>
      <c r="I30" s="78"/>
      <c r="J30" s="78"/>
      <c r="K30" s="78"/>
    </row>
    <row r="31" spans="1:11" x14ac:dyDescent="0.25">
      <c r="A31" s="275"/>
      <c r="B31" s="280"/>
      <c r="C31" s="280"/>
      <c r="D31" s="281"/>
      <c r="E31" s="281"/>
      <c r="F31" s="275"/>
      <c r="G31" s="275"/>
      <c r="H31" s="78"/>
      <c r="I31" s="78"/>
      <c r="J31" s="78"/>
      <c r="K31" s="78"/>
    </row>
    <row r="32" spans="1:11" x14ac:dyDescent="0.25">
      <c r="A32" s="275"/>
      <c r="B32" s="280"/>
      <c r="C32" s="280"/>
      <c r="D32" s="281"/>
      <c r="E32" s="281"/>
      <c r="F32" s="275"/>
      <c r="G32" s="275"/>
      <c r="H32" s="78"/>
      <c r="I32" s="78"/>
      <c r="J32" s="78"/>
      <c r="K32" s="78"/>
    </row>
    <row r="33" spans="1:11" x14ac:dyDescent="0.25">
      <c r="A33" s="275"/>
      <c r="B33" s="280"/>
      <c r="C33" s="280"/>
      <c r="D33" s="281"/>
      <c r="E33" s="281"/>
      <c r="F33" s="275"/>
      <c r="G33" s="275"/>
      <c r="H33" s="78"/>
      <c r="I33" s="78"/>
      <c r="J33" s="78"/>
      <c r="K33" s="78"/>
    </row>
    <row r="34" spans="1:11" x14ac:dyDescent="0.25">
      <c r="A34" s="275"/>
      <c r="B34" s="275"/>
      <c r="C34" s="275"/>
      <c r="D34" s="281"/>
      <c r="E34" s="281"/>
      <c r="F34" s="275"/>
      <c r="G34" s="275"/>
      <c r="H34" s="78"/>
      <c r="I34" s="78"/>
      <c r="J34" s="78"/>
      <c r="K34" s="78"/>
    </row>
    <row r="35" spans="1:11" x14ac:dyDescent="0.25">
      <c r="A35" s="275"/>
      <c r="B35" s="282"/>
      <c r="C35" s="282"/>
      <c r="D35" s="283"/>
      <c r="E35" s="283"/>
      <c r="F35" s="275"/>
      <c r="G35" s="275"/>
      <c r="H35" s="78"/>
      <c r="I35" s="78"/>
      <c r="J35" s="78"/>
      <c r="K35" s="78"/>
    </row>
    <row r="36" spans="1:11" x14ac:dyDescent="0.25">
      <c r="A36" s="78"/>
      <c r="B36" s="78"/>
      <c r="C36" s="78"/>
      <c r="D36" s="78"/>
      <c r="E36" s="78"/>
      <c r="F36" s="78"/>
      <c r="G36" s="275"/>
      <c r="H36" s="78"/>
      <c r="I36" s="78"/>
      <c r="J36" s="78"/>
      <c r="K36" s="78"/>
    </row>
    <row r="37" spans="1:11" x14ac:dyDescent="0.25">
      <c r="A37" s="78"/>
      <c r="B37" s="78"/>
      <c r="C37" s="78"/>
      <c r="D37" s="78"/>
      <c r="E37" s="78"/>
      <c r="F37" s="78"/>
      <c r="G37" s="275"/>
      <c r="H37" s="78"/>
      <c r="I37" s="78"/>
      <c r="J37" s="78"/>
      <c r="K37" s="78"/>
    </row>
    <row r="38" spans="1:11" x14ac:dyDescent="0.25">
      <c r="A38" s="275"/>
      <c r="B38" s="275"/>
      <c r="C38" s="275"/>
      <c r="D38" s="275"/>
      <c r="E38" s="275"/>
      <c r="F38" s="275"/>
      <c r="G38" s="275"/>
      <c r="H38" s="78"/>
      <c r="I38" s="78"/>
      <c r="J38" s="78"/>
      <c r="K38" s="78"/>
    </row>
    <row r="39" spans="1:11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</row>
    <row r="40" spans="1:11" x14ac:dyDescent="0.25">
      <c r="A40" s="78"/>
      <c r="B40" s="78"/>
      <c r="C40" s="78"/>
      <c r="D40" s="78"/>
      <c r="E40" s="78"/>
      <c r="F40" s="284"/>
      <c r="G40" s="284"/>
      <c r="H40" s="285"/>
      <c r="I40" s="285"/>
      <c r="J40" s="285"/>
      <c r="K40" s="78"/>
    </row>
    <row r="41" spans="1:11" x14ac:dyDescent="0.25">
      <c r="A41" s="78"/>
      <c r="B41" s="78"/>
      <c r="C41" s="78"/>
      <c r="D41" s="78"/>
      <c r="E41" s="78"/>
      <c r="F41" s="78"/>
      <c r="G41" s="78"/>
      <c r="H41" s="285"/>
      <c r="I41" s="285"/>
      <c r="J41" s="286"/>
      <c r="K41" s="78"/>
    </row>
    <row r="42" spans="1:11" x14ac:dyDescent="0.25">
      <c r="A42" s="78"/>
      <c r="B42" s="236"/>
      <c r="C42" s="236"/>
      <c r="D42" s="236"/>
      <c r="E42" s="236"/>
      <c r="F42" s="287"/>
      <c r="G42" s="78"/>
      <c r="H42" s="276"/>
      <c r="I42" s="285"/>
      <c r="J42" s="286"/>
      <c r="K42" s="78"/>
    </row>
    <row r="43" spans="1:11" x14ac:dyDescent="0.25">
      <c r="A43" s="78"/>
      <c r="B43" s="236"/>
      <c r="C43" s="236"/>
      <c r="D43" s="236"/>
      <c r="E43" s="236"/>
      <c r="F43" s="287"/>
      <c r="G43" s="78"/>
      <c r="H43" s="276"/>
      <c r="I43" s="285"/>
      <c r="J43" s="286"/>
      <c r="K43" s="78"/>
    </row>
    <row r="44" spans="1:11" x14ac:dyDescent="0.25">
      <c r="A44" s="78"/>
      <c r="B44" s="236"/>
      <c r="C44" s="236"/>
      <c r="D44" s="236"/>
      <c r="E44" s="236"/>
      <c r="F44" s="287"/>
      <c r="G44" s="78"/>
      <c r="H44" s="276"/>
      <c r="I44" s="285"/>
      <c r="J44" s="286"/>
      <c r="K44" s="78"/>
    </row>
    <row r="45" spans="1:11" x14ac:dyDescent="0.25">
      <c r="A45" s="78"/>
      <c r="B45" s="236"/>
      <c r="C45" s="236"/>
      <c r="D45" s="236"/>
      <c r="E45" s="236"/>
      <c r="F45" s="287"/>
      <c r="G45" s="78"/>
      <c r="H45" s="276"/>
      <c r="I45" s="285"/>
      <c r="J45" s="286"/>
      <c r="K45" s="78"/>
    </row>
    <row r="46" spans="1:11" x14ac:dyDescent="0.25">
      <c r="A46" s="166"/>
      <c r="B46" s="288"/>
      <c r="C46" s="288"/>
      <c r="D46" s="288"/>
      <c r="E46" s="288"/>
      <c r="F46" s="236"/>
      <c r="G46" s="78"/>
      <c r="H46" s="285"/>
      <c r="I46" s="285"/>
      <c r="J46" s="286"/>
      <c r="K46" s="78"/>
    </row>
    <row r="47" spans="1:11" x14ac:dyDescent="0.25">
      <c r="A47" s="78"/>
      <c r="B47" s="236"/>
      <c r="C47" s="236"/>
      <c r="D47" s="236"/>
      <c r="E47" s="236"/>
      <c r="F47" s="78"/>
      <c r="G47" s="78"/>
      <c r="H47" s="78"/>
      <c r="I47" s="78"/>
      <c r="J47" s="78"/>
      <c r="K47" s="78"/>
    </row>
    <row r="48" spans="1:11" x14ac:dyDescent="0.25">
      <c r="A48" s="78"/>
      <c r="B48" s="236"/>
      <c r="C48" s="236"/>
      <c r="D48" s="236"/>
      <c r="E48" s="236"/>
      <c r="F48" s="78"/>
      <c r="G48" s="78"/>
      <c r="H48" s="78"/>
      <c r="I48" s="78"/>
      <c r="J48" s="78"/>
      <c r="K48" s="78"/>
    </row>
    <row r="49" spans="1:11" x14ac:dyDescent="0.25">
      <c r="A49" s="78"/>
      <c r="B49" s="236"/>
      <c r="C49" s="78"/>
      <c r="D49" s="236"/>
      <c r="E49" s="78"/>
      <c r="F49" s="78"/>
      <c r="G49" s="78"/>
      <c r="H49" s="78"/>
      <c r="I49" s="78"/>
      <c r="J49" s="78"/>
      <c r="K49" s="78"/>
    </row>
    <row r="50" spans="1:11" x14ac:dyDescent="0.25">
      <c r="A50" s="78"/>
      <c r="B50" s="236"/>
      <c r="C50" s="78"/>
      <c r="D50" s="236"/>
      <c r="E50" s="78"/>
      <c r="F50" s="78"/>
      <c r="G50" s="78"/>
      <c r="H50" s="78"/>
      <c r="I50" s="78"/>
      <c r="J50" s="78"/>
      <c r="K50" s="78"/>
    </row>
    <row r="51" spans="1:11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</row>
    <row r="52" spans="1:11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</row>
  </sheetData>
  <conditionalFormatting sqref="B30:B31">
    <cfRule type="expression" dxfId="15" priority="17">
      <formula>AND($AW30&lt;&gt;"",$BF30="")</formula>
    </cfRule>
    <cfRule type="expression" dxfId="14" priority="18">
      <formula>$AW30&lt;&gt;""</formula>
    </cfRule>
  </conditionalFormatting>
  <conditionalFormatting sqref="B33">
    <cfRule type="expression" dxfId="13" priority="65">
      <formula>AND($AW32&lt;&gt;"",$BF32="")</formula>
    </cfRule>
    <cfRule type="expression" dxfId="12" priority="66">
      <formula>$AW32&lt;&gt;""</formula>
    </cfRule>
  </conditionalFormatting>
  <conditionalFormatting sqref="B32">
    <cfRule type="expression" dxfId="11" priority="15">
      <formula>AND($AW32&lt;&gt;"",$BF32="")</formula>
    </cfRule>
    <cfRule type="expression" dxfId="10" priority="16">
      <formula>$AW32&lt;&gt;""</formula>
    </cfRule>
  </conditionalFormatting>
  <conditionalFormatting sqref="C31">
    <cfRule type="expression" dxfId="9" priority="5">
      <formula>AND($AW31&lt;&gt;"",$BF31="")</formula>
    </cfRule>
    <cfRule type="expression" dxfId="8" priority="6">
      <formula>$AW31&lt;&gt;""</formula>
    </cfRule>
  </conditionalFormatting>
  <conditionalFormatting sqref="C33">
    <cfRule type="expression" dxfId="7" priority="7">
      <formula>AND($AW32&lt;&gt;"",$BF32="")</formula>
    </cfRule>
    <cfRule type="expression" dxfId="6" priority="8">
      <formula>$AW32&lt;&gt;""</formula>
    </cfRule>
  </conditionalFormatting>
  <conditionalFormatting sqref="C32">
    <cfRule type="expression" dxfId="5" priority="3">
      <formula>AND($AW32&lt;&gt;"",$BF32="")</formula>
    </cfRule>
    <cfRule type="expression" dxfId="4" priority="4">
      <formula>$AW32&lt;&gt;""</formula>
    </cfRule>
  </conditionalFormatting>
  <conditionalFormatting sqref="H3:N9 O3">
    <cfRule type="expression" dxfId="3" priority="1">
      <formula>AND($AV5&lt;&gt;"",$BE5="")</formula>
    </cfRule>
    <cfRule type="expression" dxfId="2" priority="2">
      <formula>$AV5&lt;&gt;""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D534-A0E1-49C8-95FC-17F9645C78F0}">
  <dimension ref="A1:R11"/>
  <sheetViews>
    <sheetView zoomScale="80" zoomScaleNormal="80" workbookViewId="0">
      <selection activeCell="B5" sqref="B5"/>
    </sheetView>
  </sheetViews>
  <sheetFormatPr defaultRowHeight="15" x14ac:dyDescent="0.25"/>
  <cols>
    <col min="1" max="1" width="43.85546875" customWidth="1"/>
    <col min="2" max="2" width="15.85546875" bestFit="1" customWidth="1"/>
    <col min="3" max="3" width="16.42578125" bestFit="1" customWidth="1"/>
    <col min="4" max="4" width="14.7109375" bestFit="1" customWidth="1"/>
    <col min="5" max="7" width="17.42578125" customWidth="1"/>
    <col min="8" max="8" width="39.5703125" bestFit="1" customWidth="1"/>
    <col min="9" max="9" width="18.5703125" bestFit="1" customWidth="1"/>
    <col min="10" max="10" width="26.5703125" bestFit="1" customWidth="1"/>
    <col min="11" max="11" width="24.7109375" bestFit="1" customWidth="1"/>
    <col min="12" max="12" width="23" bestFit="1" customWidth="1"/>
    <col min="13" max="14" width="11.5703125" customWidth="1"/>
    <col min="15" max="15" width="18.42578125" bestFit="1" customWidth="1"/>
    <col min="16" max="16" width="17.5703125" bestFit="1" customWidth="1"/>
    <col min="17" max="17" width="16" bestFit="1" customWidth="1"/>
    <col min="18" max="18" width="17.5703125" bestFit="1" customWidth="1"/>
    <col min="19" max="19" width="18.42578125" bestFit="1" customWidth="1"/>
    <col min="20" max="20" width="17.5703125" bestFit="1" customWidth="1"/>
    <col min="21" max="21" width="16" bestFit="1" customWidth="1"/>
    <col min="22" max="22" width="17.5703125" bestFit="1" customWidth="1"/>
  </cols>
  <sheetData>
    <row r="1" spans="1:18" ht="15.75" x14ac:dyDescent="0.25">
      <c r="A1" s="22" t="s">
        <v>118</v>
      </c>
    </row>
    <row r="2" spans="1:18" x14ac:dyDescent="0.25">
      <c r="H2" s="258" t="s">
        <v>6</v>
      </c>
      <c r="I2" s="258" t="s">
        <v>7</v>
      </c>
      <c r="J2" s="258" t="s">
        <v>8</v>
      </c>
      <c r="K2" s="258" t="s">
        <v>9</v>
      </c>
      <c r="L2" s="258" t="s">
        <v>119</v>
      </c>
      <c r="M2" s="258" t="s">
        <v>5</v>
      </c>
      <c r="N2" s="258" t="s">
        <v>120</v>
      </c>
      <c r="O2" s="258" t="s">
        <v>127</v>
      </c>
      <c r="P2" s="258" t="s">
        <v>130</v>
      </c>
      <c r="Q2" s="258" t="s">
        <v>131</v>
      </c>
      <c r="R2" s="258" t="s">
        <v>132</v>
      </c>
    </row>
    <row r="3" spans="1:18" ht="15.75" thickBot="1" x14ac:dyDescent="0.3">
      <c r="A3" s="262"/>
      <c r="H3" s="259" t="s">
        <v>10</v>
      </c>
      <c r="I3" s="260">
        <v>1236.8999999999996</v>
      </c>
      <c r="J3" s="260">
        <v>0</v>
      </c>
      <c r="K3" s="260">
        <v>307.249373881932</v>
      </c>
      <c r="L3" s="260">
        <v>0</v>
      </c>
      <c r="M3" s="260">
        <v>1544.1493738819318</v>
      </c>
      <c r="N3" s="261">
        <v>0.74791696884720127</v>
      </c>
      <c r="O3" s="269">
        <v>0</v>
      </c>
      <c r="P3" s="266">
        <f>O3/$O$8</f>
        <v>0</v>
      </c>
      <c r="Q3" s="267">
        <f>M3</f>
        <v>1544.1493738819318</v>
      </c>
      <c r="R3" s="266">
        <f>Q3/$Q$8</f>
        <v>0.81627766625773912</v>
      </c>
    </row>
    <row r="4" spans="1:18" x14ac:dyDescent="0.25">
      <c r="A4" s="290" t="s">
        <v>6</v>
      </c>
      <c r="B4" s="291" t="s">
        <v>116</v>
      </c>
      <c r="C4" s="291" t="s">
        <v>126</v>
      </c>
      <c r="D4" s="291" t="s">
        <v>117</v>
      </c>
      <c r="E4" s="292" t="s">
        <v>129</v>
      </c>
      <c r="H4" s="259" t="s">
        <v>17</v>
      </c>
      <c r="I4" s="260">
        <v>106</v>
      </c>
      <c r="J4" s="260">
        <v>61.768177028450999</v>
      </c>
      <c r="K4" s="260">
        <v>26.330692563250711</v>
      </c>
      <c r="L4" s="260">
        <v>0</v>
      </c>
      <c r="M4" s="260">
        <v>194.09886959170171</v>
      </c>
      <c r="N4" s="261">
        <v>9.4012820687640081E-2</v>
      </c>
      <c r="O4" s="267">
        <f>M4</f>
        <v>194.09886959170171</v>
      </c>
      <c r="P4" s="266">
        <f>O4/$O$8</f>
        <v>0.55848261327713378</v>
      </c>
      <c r="Q4" s="267">
        <f>M4</f>
        <v>194.09886959170171</v>
      </c>
      <c r="R4" s="266">
        <f>Q4/$Q$8</f>
        <v>0.10260572906575163</v>
      </c>
    </row>
    <row r="5" spans="1:18" x14ac:dyDescent="0.25">
      <c r="A5" s="84" t="s">
        <v>10</v>
      </c>
      <c r="B5" s="11">
        <v>48850</v>
      </c>
      <c r="C5" s="289">
        <f>P3*$C$10</f>
        <v>0</v>
      </c>
      <c r="D5" s="11">
        <v>0</v>
      </c>
      <c r="E5" s="293">
        <f>SUM(B5:D5)</f>
        <v>48850</v>
      </c>
      <c r="H5" s="259" t="s">
        <v>19</v>
      </c>
      <c r="I5" s="260">
        <v>72.900000000000006</v>
      </c>
      <c r="J5" s="260">
        <v>42.480189673340362</v>
      </c>
      <c r="K5" s="260">
        <v>18.108561206235631</v>
      </c>
      <c r="L5" s="260">
        <v>0</v>
      </c>
      <c r="M5" s="260">
        <v>133.488750879576</v>
      </c>
      <c r="N5" s="261">
        <v>6.4655987057820399E-2</v>
      </c>
      <c r="O5" s="267">
        <f>M5</f>
        <v>133.488750879576</v>
      </c>
      <c r="P5" s="266">
        <f>O5/$O$8</f>
        <v>0.38408851422550055</v>
      </c>
      <c r="Q5" s="267">
        <f>M5</f>
        <v>133.488750879576</v>
      </c>
      <c r="R5" s="266">
        <f>Q5/$Q$8</f>
        <v>7.0565638197106553E-2</v>
      </c>
    </row>
    <row r="6" spans="1:18" x14ac:dyDescent="0.25">
      <c r="A6" s="84" t="s">
        <v>17</v>
      </c>
      <c r="B6" s="11">
        <v>3800</v>
      </c>
      <c r="C6" s="237">
        <f>P4*$C$10</f>
        <v>4607.4815595363534</v>
      </c>
      <c r="D6" s="11">
        <v>0</v>
      </c>
      <c r="E6" s="293">
        <f t="shared" ref="E6:E10" si="0">SUM(B6:D6)</f>
        <v>8407.4815595363543</v>
      </c>
      <c r="H6" s="259" t="s">
        <v>101</v>
      </c>
      <c r="I6" s="260">
        <v>10.9</v>
      </c>
      <c r="J6" s="260">
        <v>6.3516332982086414</v>
      </c>
      <c r="K6" s="260">
        <v>2.7075900843342713</v>
      </c>
      <c r="L6" s="260">
        <v>0</v>
      </c>
      <c r="M6" s="260">
        <v>19.959223382542913</v>
      </c>
      <c r="N6" s="261">
        <v>9.6673560895780847E-3</v>
      </c>
      <c r="O6" s="267">
        <f>M6</f>
        <v>19.959223382542913</v>
      </c>
      <c r="P6" s="266">
        <f>O6/$O$8</f>
        <v>5.7428872497365648E-2</v>
      </c>
      <c r="Q6" s="267">
        <f>M6</f>
        <v>19.959223382542913</v>
      </c>
      <c r="R6" s="266">
        <f>Q6/$Q$8</f>
        <v>1.0550966479402762E-2</v>
      </c>
    </row>
    <row r="7" spans="1:18" x14ac:dyDescent="0.25">
      <c r="A7" s="84" t="s">
        <v>19</v>
      </c>
      <c r="B7" s="11">
        <v>0</v>
      </c>
      <c r="C7" s="237">
        <f>P5*$C$10</f>
        <v>3168.7302423603796</v>
      </c>
      <c r="D7" s="11">
        <v>0</v>
      </c>
      <c r="E7" s="293">
        <f t="shared" si="0"/>
        <v>3168.7302423603796</v>
      </c>
      <c r="H7" s="263" t="s">
        <v>102</v>
      </c>
      <c r="I7" s="264">
        <v>138.5</v>
      </c>
      <c r="J7" s="264">
        <v>1.4210854715202004E-14</v>
      </c>
      <c r="K7" s="264">
        <v>34.40378226424739</v>
      </c>
      <c r="L7" s="264">
        <v>0</v>
      </c>
      <c r="M7" s="264">
        <v>172.90378226424738</v>
      </c>
      <c r="N7" s="265">
        <v>8.3746867317760043E-2</v>
      </c>
      <c r="O7" s="270">
        <v>0</v>
      </c>
      <c r="P7" s="266">
        <f>O7/$O$8</f>
        <v>0</v>
      </c>
      <c r="Q7" s="272">
        <v>0</v>
      </c>
      <c r="R7" s="266">
        <f>Q7/$Q$8</f>
        <v>0</v>
      </c>
    </row>
    <row r="8" spans="1:18" x14ac:dyDescent="0.25">
      <c r="A8" s="84" t="s">
        <v>101</v>
      </c>
      <c r="B8" s="11">
        <v>0</v>
      </c>
      <c r="C8" s="237">
        <f>P6*$C$10</f>
        <v>473.78819810326661</v>
      </c>
      <c r="D8" s="11">
        <v>0</v>
      </c>
      <c r="E8" s="293">
        <f t="shared" si="0"/>
        <v>473.78819810326661</v>
      </c>
      <c r="H8" s="263" t="s">
        <v>11</v>
      </c>
      <c r="I8" s="264">
        <v>1565.1999999999998</v>
      </c>
      <c r="J8" s="264">
        <v>110.60000000000001</v>
      </c>
      <c r="K8" s="264">
        <v>388.8</v>
      </c>
      <c r="L8" s="264">
        <v>0</v>
      </c>
      <c r="M8" s="264">
        <f t="shared" ref="M8:R8" si="1">SUM(M3:M7)</f>
        <v>2064.5999999999995</v>
      </c>
      <c r="N8" s="265">
        <f t="shared" si="1"/>
        <v>0.99999999999999989</v>
      </c>
      <c r="O8" s="268">
        <f t="shared" si="1"/>
        <v>347.54684385382063</v>
      </c>
      <c r="P8" s="271">
        <f t="shared" si="1"/>
        <v>0.99999999999999989</v>
      </c>
      <c r="Q8" s="273">
        <f t="shared" si="1"/>
        <v>1891.6962177357523</v>
      </c>
      <c r="R8" s="271">
        <f t="shared" si="1"/>
        <v>1</v>
      </c>
    </row>
    <row r="9" spans="1:18" x14ac:dyDescent="0.25">
      <c r="A9" s="84" t="s">
        <v>102</v>
      </c>
      <c r="B9" s="11">
        <v>0</v>
      </c>
      <c r="C9" s="289">
        <f>P7*$C$10</f>
        <v>0</v>
      </c>
      <c r="D9" s="11">
        <v>0</v>
      </c>
      <c r="E9" s="294">
        <f t="shared" si="0"/>
        <v>0</v>
      </c>
      <c r="H9" s="259" t="s">
        <v>103</v>
      </c>
      <c r="I9" s="260" t="s">
        <v>104</v>
      </c>
      <c r="J9" s="260" t="s">
        <v>104</v>
      </c>
      <c r="K9" s="260" t="s">
        <v>104</v>
      </c>
      <c r="L9" s="260" t="s">
        <v>104</v>
      </c>
      <c r="M9" s="260">
        <v>0</v>
      </c>
      <c r="N9" s="261" t="s">
        <v>104</v>
      </c>
      <c r="O9" s="11"/>
      <c r="P9" s="11"/>
      <c r="Q9" s="11"/>
      <c r="R9" s="11"/>
    </row>
    <row r="10" spans="1:18" ht="15.75" thickBot="1" x14ac:dyDescent="0.3">
      <c r="A10" s="295" t="s">
        <v>128</v>
      </c>
      <c r="B10" s="296">
        <f>SUM(B5:B9)</f>
        <v>52650</v>
      </c>
      <c r="C10" s="296">
        <v>8250</v>
      </c>
      <c r="D10" s="296">
        <f>SUM(D5:D9)</f>
        <v>0</v>
      </c>
      <c r="E10" s="297">
        <f t="shared" si="0"/>
        <v>60900</v>
      </c>
    </row>
    <row r="11" spans="1:18" x14ac:dyDescent="0.25">
      <c r="A11" t="s">
        <v>133</v>
      </c>
    </row>
  </sheetData>
  <conditionalFormatting sqref="H3:N9 O3">
    <cfRule type="expression" dxfId="1" priority="1">
      <formula>AND($AV5&lt;&gt;"",$BE5="")</formula>
    </cfRule>
    <cfRule type="expression" dxfId="0" priority="2">
      <formula>$AV5&lt;&gt;""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BD2BE26EB0714589EA5BDF228104C8" ma:contentTypeVersion="12" ma:contentTypeDescription="Loo uus dokument" ma:contentTypeScope="" ma:versionID="d466816e98ec86ccaaf374da8a2deb57">
  <xsd:schema xmlns:xsd="http://www.w3.org/2001/XMLSchema" xmlns:xs="http://www.w3.org/2001/XMLSchema" xmlns:p="http://schemas.microsoft.com/office/2006/metadata/properties" xmlns:ns2="0ae7e9c1-1a9d-426b-b4bc-76111263279c" xmlns:ns3="3781b2b8-4806-4bd5-8f0f-f0ed2a88ffbf" targetNamespace="http://schemas.microsoft.com/office/2006/metadata/properties" ma:root="true" ma:fieldsID="5b2e61e5eb2991d5c27bcc425a6a0298" ns2:_="" ns3:_="">
    <xsd:import namespace="0ae7e9c1-1a9d-426b-b4bc-76111263279c"/>
    <xsd:import namespace="3781b2b8-4806-4bd5-8f0f-f0ed2a88ff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e9c1-1a9d-426b-b4bc-7611126327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1b2b8-4806-4bd5-8f0f-f0ed2a88f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E4FA77-257B-4A9C-A119-D9F9C68C352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9b75d5ef-9f4b-4445-abe8-84a77c2928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59248C-C0A4-4AA4-8D78-EF0984154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6.1.R15</vt:lpstr>
      <vt:lpstr>#Lisa 1 üürnike vahel</vt:lpstr>
      <vt:lpstr>Kontorimööbel</vt:lpstr>
      <vt:lpstr>Eritellimusmööbel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Erik</dc:creator>
  <cp:lastModifiedBy>Henri Telk</cp:lastModifiedBy>
  <cp:lastPrinted>2019-08-19T15:43:57Z</cp:lastPrinted>
  <dcterms:created xsi:type="dcterms:W3CDTF">2011-09-27T10:48:38Z</dcterms:created>
  <dcterms:modified xsi:type="dcterms:W3CDTF">2021-05-31T09:30:07Z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0x010100D8BD2BE26EB0714589EA5BDF228104C8</vt:lpwstr>
  </property>
</Properties>
</file>